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STATS'!$A$1:$M$184</definedName>
    <definedName name="_xlnm.Print_Area" localSheetId="3">'SLOT STATS'!$A$1:$I$186</definedName>
    <definedName name="_xlnm.Print_Area" localSheetId="2">'TABLE STATS'!$A$1:$H$185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<sst xmlns="http://schemas.openxmlformats.org/spreadsheetml/2006/main" count="198" uniqueCount="77">
  <si>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</si>
  <si>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</si>
  <si>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</si>
  <si>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</si>
  <si>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</si>
  <si>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</si>
  <si>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</si>
  <si>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</si>
  <si>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</si>
  <si>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</si>
  <si>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</si>
  <si>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</si>
  <si>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</si>
  <si>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</si>
  <si>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</si>
  <si>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</si>
  <si>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HARRAHS M.H. 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</si>
  <si>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</si>
  <si>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</si>
  <si>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</si>
  <si>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</si>
  <si>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</si>
  <si>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</si>
  <si>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</si>
  <si>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</si>
  <si>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</si>
  <si>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</si>
  <si>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</si>
  <si>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HARRAHS MH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</si>
  <si>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</si>
  <si>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</si>
  <si>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</si>
  <si>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</si>
  <si>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</si>
  <si>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</si>
  <si>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</si>
  <si>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</si>
  <si>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</si>
  <si>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</si>
  <si>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</si>
  <si>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</si>
  <si>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MARYLAND HGTS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</si>
  <si>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</si>
  <si>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</si>
  <si>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</si>
  <si>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</si>
  <si>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</si>
  <si>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</si>
  <si>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</si>
  <si>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</si>
  <si>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</si>
  <si>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</si>
  <si>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</si>
  <si>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</si>
  <si>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</si>
  <si>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</si>
  <si>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 xml:space="preserve">ST. JO FRONTIER </t>
  </si>
  <si>
    <t>MARK TWAIN</t>
  </si>
  <si>
    <t xml:space="preserve">ST. JO </t>
  </si>
  <si>
    <t>LUMIERE PLACE</t>
  </si>
  <si>
    <t>IOC - LADY LUCK</t>
  </si>
  <si>
    <t xml:space="preserve">LUMIERE PLACE </t>
  </si>
  <si>
    <t>PRESIDENT *</t>
  </si>
  <si>
    <t xml:space="preserve">MARK TWAIN </t>
  </si>
  <si>
    <t>RIVER CITY</t>
  </si>
  <si>
    <t>RIVER CITY **</t>
  </si>
  <si>
    <t>** River City began operations March 4, 2010, with VIP openings on March 1 and 2, 2010.</t>
  </si>
  <si>
    <t xml:space="preserve">FISCAL 2011 YTD ADMISSIONS, PATRONS AND AGR SUMMARY </t>
  </si>
  <si>
    <t>*  President boat closure 11/2 and 11/3, 2009, 3/28 through 3/31, 5/17 through 5/25, and 6/18 through 6/28, 2010, due to flooding.  License officially ended 6/29, 2010.</t>
  </si>
  <si>
    <t xml:space="preserve">   License officially ended 6/29, 2010.</t>
  </si>
  <si>
    <t>*  President boat closure 11/2 and 11/3, 2009, 3/28 through 3/31, 5/17 through 5/25, and 6/18 through 6/28, 2010, due to flooding.</t>
  </si>
  <si>
    <t>MONTH ENDED:   APRIL 30, 2011</t>
  </si>
  <si>
    <t>(as reported on the tax remittal database dtd 5/5/11)</t>
  </si>
  <si>
    <t>FOR THE MONTH ENDED:    APRIL 30, 2011</t>
  </si>
  <si>
    <t>THRU MONTH ENDED:   APRIL 30, 2011</t>
  </si>
  <si>
    <t>(as reported on the tax remittal database as of 5/5/11)</t>
  </si>
  <si>
    <t>THRU MONTH ENDED:     APRIL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</si>
</sst>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4">
    <xf numFmtId="164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2" borderId="1" xfId="0" applyFont="1" applyFill="1" applyAlignment="1">
      <alignment/>
    </xf>
    <xf numFmtId="164" fontId="9" fillId="2" borderId="2" xfId="0" applyFont="1" applyFill="1" applyAlignment="1">
      <alignment horizontal="center"/>
    </xf>
    <xf numFmtId="164" fontId="9" fillId="3" borderId="2" xfId="0" applyFont="1" applyFill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0" fillId="2" borderId="4" xfId="0" applyFont="1" applyFill="1" applyAlignment="1">
      <alignment horizontal="center"/>
    </xf>
    <xf numFmtId="164" fontId="9" fillId="2" borderId="5" xfId="0" applyFont="1" applyFill="1" applyAlignment="1">
      <alignment horizontal="center"/>
    </xf>
    <xf numFmtId="164" fontId="0" fillId="3" borderId="5" xfId="0" applyFill="1" applyAlignment="1">
      <alignment horizontal="center"/>
    </xf>
    <xf numFmtId="164" fontId="9" fillId="3" borderId="6" xfId="0" applyFont="1" applyFill="1" applyBorder="1" applyAlignment="1">
      <alignment horizontal="center"/>
    </xf>
    <xf numFmtId="164" fontId="11" fillId="0" borderId="1" xfId="0" applyFont="1" applyAlignment="1">
      <alignment horizontal="center"/>
    </xf>
    <xf numFmtId="164" fontId="11" fillId="0" borderId="2" xfId="0" applyFont="1" applyAlignment="1">
      <alignment horizontal="center"/>
    </xf>
    <xf numFmtId="164" fontId="11" fillId="3" borderId="2" xfId="0" applyFont="1" applyFill="1" applyAlignment="1">
      <alignment horizontal="center"/>
    </xf>
    <xf numFmtId="164" fontId="11" fillId="3" borderId="3" xfId="0" applyFont="1" applyFill="1" applyBorder="1" applyAlignment="1">
      <alignment horizontal="center"/>
    </xf>
    <xf numFmtId="166" fontId="10" fillId="0" borderId="4" xfId="0" applyNumberFormat="1" applyFont="1" applyAlignment="1">
      <alignment/>
    </xf>
    <xf numFmtId="17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 horizontal="center"/>
    </xf>
    <xf numFmtId="3" fontId="0" fillId="0" borderId="5" xfId="0" applyNumberFormat="1" applyAlignment="1">
      <alignment horizontal="center"/>
    </xf>
    <xf numFmtId="9" fontId="0" fillId="3" borderId="5" xfId="0" applyNumberFormat="1" applyFont="1" applyFill="1" applyAlignment="1">
      <alignment horizontal="center"/>
    </xf>
    <xf numFmtId="4" fontId="0" fillId="0" borderId="5" xfId="0" applyNumberFormat="1" applyFont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10" fillId="2" borderId="1" xfId="0" applyNumberFormat="1" applyFont="1" applyFill="1" applyAlignment="1">
      <alignment/>
    </xf>
    <xf numFmtId="164" fontId="0" fillId="2" borderId="2" xfId="0" applyFont="1" applyFill="1" applyAlignment="1">
      <alignment horizontal="center"/>
    </xf>
    <xf numFmtId="3" fontId="10" fillId="2" borderId="2" xfId="0" applyNumberFormat="1" applyFont="1" applyFill="1" applyAlignment="1">
      <alignment horizontal="center"/>
    </xf>
    <xf numFmtId="9" fontId="0" fillId="3" borderId="2" xfId="0" applyNumberFormat="1" applyFont="1" applyFill="1" applyAlignment="1">
      <alignment horizontal="center"/>
    </xf>
    <xf numFmtId="9" fontId="10" fillId="3" borderId="2" xfId="0" applyNumberFormat="1" applyFont="1" applyFill="1" applyAlignment="1">
      <alignment horizontal="center"/>
    </xf>
    <xf numFmtId="4" fontId="10" fillId="2" borderId="2" xfId="0" applyNumberFormat="1" applyFont="1" applyFill="1" applyAlignment="1">
      <alignment horizontal="center"/>
    </xf>
    <xf numFmtId="9" fontId="10" fillId="3" borderId="3" xfId="0" applyNumberFormat="1" applyFont="1" applyFill="1" applyBorder="1" applyAlignment="1">
      <alignment horizontal="center"/>
    </xf>
    <xf numFmtId="166" fontId="10" fillId="0" borderId="1" xfId="0" applyNumberFormat="1" applyFont="1" applyAlignment="1">
      <alignment/>
    </xf>
    <xf numFmtId="164" fontId="0" fillId="0" borderId="2" xfId="0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2" xfId="0" applyNumberFormat="1" applyFont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Alignment="1">
      <alignment/>
    </xf>
    <xf numFmtId="166" fontId="10" fillId="2" borderId="7" xfId="0" applyNumberFormat="1" applyFont="1" applyFill="1" applyBorder="1" applyAlignment="1">
      <alignment/>
    </xf>
    <xf numFmtId="164" fontId="0" fillId="2" borderId="8" xfId="0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9" fontId="0" fillId="3" borderId="8" xfId="0" applyNumberFormat="1" applyFont="1" applyFill="1" applyBorder="1" applyAlignment="1">
      <alignment horizontal="center"/>
    </xf>
    <xf numFmtId="9" fontId="10" fillId="3" borderId="8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9" fontId="10" fillId="3" borderId="9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>
      <alignment/>
    </xf>
    <xf numFmtId="164" fontId="0" fillId="0" borderId="5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164" fontId="0" fillId="0" borderId="5" xfId="0" applyFont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9" fontId="10" fillId="3" borderId="11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166" fontId="10" fillId="0" borderId="4" xfId="0" applyNumberFormat="1" applyFont="1" applyBorder="1" applyAlignment="1">
      <alignment/>
    </xf>
    <xf numFmtId="164" fontId="0" fillId="2" borderId="10" xfId="0" applyFont="1" applyFill="1" applyBorder="1" applyAlignment="1">
      <alignment horizontal="center"/>
    </xf>
    <xf numFmtId="9" fontId="10" fillId="3" borderId="10" xfId="0" applyNumberFormat="1" applyFont="1" applyFill="1" applyBorder="1" applyAlignment="1">
      <alignment horizontal="center"/>
    </xf>
    <xf numFmtId="164" fontId="0" fillId="0" borderId="1" xfId="0" applyNumberFormat="1" applyAlignment="1">
      <alignment/>
    </xf>
    <xf numFmtId="164" fontId="0" fillId="0" borderId="2" xfId="0" applyNumberFormat="1" applyAlignment="1">
      <alignment/>
    </xf>
    <xf numFmtId="164" fontId="0" fillId="3" borderId="2" xfId="0" applyNumberFormat="1" applyFont="1" applyFill="1" applyAlignment="1">
      <alignment/>
    </xf>
    <xf numFmtId="164" fontId="0" fillId="3" borderId="3" xfId="0" applyNumberFormat="1" applyFont="1" applyFill="1" applyBorder="1" applyAlignment="1">
      <alignment/>
    </xf>
    <xf numFmtId="9" fontId="0" fillId="3" borderId="11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3" borderId="5" xfId="0" applyNumberFormat="1" applyFont="1" applyFill="1" applyBorder="1" applyAlignment="1">
      <alignment/>
    </xf>
    <xf numFmtId="164" fontId="0" fillId="3" borderId="6" xfId="0" applyNumberFormat="1" applyFont="1" applyFill="1" applyBorder="1" applyAlignment="1">
      <alignment/>
    </xf>
    <xf numFmtId="166" fontId="10" fillId="2" borderId="12" xfId="0" applyNumberFormat="1" applyFont="1" applyFill="1" applyBorder="1" applyAlignment="1">
      <alignment/>
    </xf>
    <xf numFmtId="166" fontId="0" fillId="0" borderId="1" xfId="0" applyNumberFormat="1" applyFont="1" applyAlignment="1">
      <alignment/>
    </xf>
    <xf numFmtId="166" fontId="10" fillId="2" borderId="1" xfId="0" applyNumberFormat="1" applyFont="1" applyFill="1" applyAlignment="1">
      <alignment horizontal="center"/>
    </xf>
    <xf numFmtId="164" fontId="10" fillId="2" borderId="2" xfId="0" applyFont="1" applyFill="1" applyAlignment="1">
      <alignment horizontal="center"/>
    </xf>
    <xf numFmtId="166" fontId="0" fillId="0" borderId="13" xfId="0" applyNumberFormat="1" applyFont="1" applyAlignment="1">
      <alignment/>
    </xf>
    <xf numFmtId="164" fontId="0" fillId="0" borderId="13" xfId="0" applyFont="1" applyAlignment="1">
      <alignment horizontal="center"/>
    </xf>
    <xf numFmtId="3" fontId="0" fillId="0" borderId="13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7" fontId="0" fillId="0" borderId="0" xfId="0" applyNumberFormat="1" applyFont="1" applyAlignment="1">
      <alignment/>
    </xf>
    <xf numFmtId="0" fontId="12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0" fillId="0" borderId="0" xfId="19" applyNumberFormat="1" applyFont="1" applyAlignment="1">
      <alignment/>
      <protection locked="0"/>
    </xf>
    <xf numFmtId="0" fontId="0" fillId="3" borderId="1" xfId="19" applyFont="1" applyFill="1" applyAlignment="1">
      <alignment/>
      <protection/>
    </xf>
    <xf numFmtId="0" fontId="10" fillId="3" borderId="1" xfId="19" applyFont="1" applyFill="1" applyAlignment="1">
      <alignment horizontal="center"/>
      <protection/>
    </xf>
    <xf numFmtId="0" fontId="0" fillId="0" borderId="4" xfId="19" applyNumberFormat="1">
      <alignment/>
      <protection/>
    </xf>
    <xf numFmtId="0" fontId="0" fillId="3" borderId="4" xfId="19" applyFill="1" applyAlignment="1">
      <alignment horizontal="center"/>
      <protection/>
    </xf>
    <xf numFmtId="0" fontId="11" fillId="3" borderId="4" xfId="19" applyFont="1" applyFill="1" applyAlignment="1">
      <alignment horizontal="center"/>
      <protection/>
    </xf>
    <xf numFmtId="0" fontId="0" fillId="3" borderId="4" xfId="19" applyFont="1" applyFill="1" applyAlignment="1">
      <alignment/>
      <protection/>
    </xf>
    <xf numFmtId="0" fontId="0" fillId="2" borderId="1" xfId="19" applyFont="1" applyFill="1" applyAlignment="1">
      <alignment/>
      <protection/>
    </xf>
    <xf numFmtId="0" fontId="0" fillId="0" borderId="1" xfId="19" applyFont="1" applyAlignment="1">
      <alignment/>
      <protection/>
    </xf>
    <xf numFmtId="17" fontId="0" fillId="0" borderId="14" xfId="19" applyNumberFormat="1" applyFont="1" applyAlignment="1">
      <alignment horizontal="center"/>
      <protection/>
    </xf>
    <xf numFmtId="3" fontId="0" fillId="0" borderId="14" xfId="19" applyNumberFormat="1" applyFont="1" applyAlignment="1">
      <alignment horizontal="center"/>
      <protection/>
    </xf>
    <xf numFmtId="3" fontId="10" fillId="0" borderId="14" xfId="19" applyNumberFormat="1" applyFont="1" applyAlignment="1">
      <alignment horizontal="center"/>
      <protection/>
    </xf>
    <xf numFmtId="17" fontId="11" fillId="0" borderId="14" xfId="19" applyNumberFormat="1" applyFont="1" applyAlignment="1">
      <alignment horizontal="center"/>
      <protection/>
    </xf>
    <xf numFmtId="17" fontId="10" fillId="0" borderId="14" xfId="19" applyNumberFormat="1" applyFont="1" applyAlignment="1">
      <alignment horizontal="center"/>
      <protection/>
    </xf>
    <xf numFmtId="17" fontId="0" fillId="0" borderId="13" xfId="19" applyNumberFormat="1" applyFont="1" applyAlignment="1">
      <alignment horizontal="center"/>
      <protection/>
    </xf>
    <xf numFmtId="0" fontId="0" fillId="0" borderId="13" xfId="19" applyFont="1" applyAlignment="1">
      <alignment horizontal="center"/>
      <protection/>
    </xf>
    <xf numFmtId="0" fontId="0" fillId="0" borderId="13" xfId="19" applyNumberFormat="1" applyFont="1" applyAlignment="1">
      <alignment horizontal="center"/>
      <protection/>
    </xf>
    <xf numFmtId="17" fontId="12" fillId="0" borderId="0" xfId="19" applyNumberFormat="1" applyFont="1" applyAlignment="1">
      <alignment horizontal="centerContinuous"/>
      <protection/>
    </xf>
    <xf numFmtId="0" fontId="12" fillId="0" borderId="0" xfId="19" applyNumberFormat="1" applyFont="1" applyAlignment="1">
      <alignment horizontal="centerContinuous"/>
      <protection/>
    </xf>
    <xf numFmtId="0" fontId="0" fillId="0" borderId="0" xfId="19" applyFont="1" applyAlignment="1">
      <alignment horizontal="center"/>
      <protection/>
    </xf>
    <xf numFmtId="0" fontId="0" fillId="0" borderId="0" xfId="19" applyNumberFormat="1" applyFont="1" applyAlignment="1">
      <alignment horizontal="center"/>
      <protection/>
    </xf>
    <xf numFmtId="17" fontId="0" fillId="3" borderId="1" xfId="19" applyNumberFormat="1" applyFont="1" applyFill="1" applyAlignment="1">
      <alignment horizontal="center"/>
      <protection/>
    </xf>
    <xf numFmtId="0" fontId="0" fillId="3" borderId="1" xfId="19" applyFont="1" applyFill="1" applyAlignment="1">
      <alignment horizontal="center"/>
      <protection/>
    </xf>
    <xf numFmtId="0" fontId="11" fillId="3" borderId="1" xfId="19" applyFont="1" applyFill="1" applyAlignment="1">
      <alignment horizontal="center"/>
      <protection/>
    </xf>
    <xf numFmtId="0" fontId="0" fillId="3" borderId="1" xfId="19" applyNumberFormat="1" applyFont="1" applyFill="1" applyAlignment="1">
      <alignment horizontal="center"/>
      <protection/>
    </xf>
    <xf numFmtId="0" fontId="10" fillId="3" borderId="1" xfId="19" applyNumberFormat="1" applyFont="1" applyFill="1" applyAlignment="1">
      <alignment horizontal="center"/>
      <protection/>
    </xf>
    <xf numFmtId="17" fontId="11" fillId="3" borderId="4" xfId="19" applyNumberFormat="1" applyFont="1" applyFill="1" applyAlignment="1">
      <alignment horizontal="center"/>
      <protection/>
    </xf>
    <xf numFmtId="0" fontId="11" fillId="3" borderId="4" xfId="19" applyNumberFormat="1" applyFont="1" applyFill="1" applyAlignment="1">
      <alignment horizontal="center"/>
      <protection/>
    </xf>
    <xf numFmtId="17" fontId="0" fillId="3" borderId="4" xfId="19" applyNumberFormat="1" applyFont="1" applyFill="1" applyAlignment="1">
      <alignment horizontal="center"/>
      <protection/>
    </xf>
    <xf numFmtId="0" fontId="0" fillId="3" borderId="4" xfId="19" applyFont="1" applyFill="1" applyAlignment="1">
      <alignment horizontal="center"/>
      <protection/>
    </xf>
    <xf numFmtId="0" fontId="0" fillId="3" borderId="4" xfId="19" applyNumberFormat="1" applyFont="1" applyFill="1" applyAlignment="1">
      <alignment horizontal="center"/>
      <protection/>
    </xf>
    <xf numFmtId="17" fontId="0" fillId="2" borderId="1" xfId="19" applyNumberFormat="1" applyFont="1" applyFill="1" applyAlignment="1">
      <alignment horizontal="center"/>
      <protection/>
    </xf>
    <xf numFmtId="0" fontId="0" fillId="2" borderId="1" xfId="19" applyFont="1" applyFill="1" applyAlignment="1">
      <alignment horizontal="center"/>
      <protection/>
    </xf>
    <xf numFmtId="0" fontId="0" fillId="0" borderId="1" xfId="19" applyFont="1" applyAlignment="1">
      <alignment horizontal="center"/>
      <protection/>
    </xf>
    <xf numFmtId="0" fontId="0" fillId="2" borderId="1" xfId="19" applyNumberFormat="1" applyFont="1" applyFill="1" applyAlignment="1">
      <alignment horizontal="center"/>
      <protection/>
    </xf>
    <xf numFmtId="4" fontId="0" fillId="0" borderId="13" xfId="19" applyNumberFormat="1" applyFont="1" applyAlignment="1">
      <alignment horizontal="center"/>
      <protection/>
    </xf>
    <xf numFmtId="0" fontId="11" fillId="0" borderId="0" xfId="19" applyFont="1" applyAlignment="1">
      <alignment horizontal="left"/>
      <protection/>
    </xf>
    <xf numFmtId="0" fontId="6" fillId="0" borderId="0" xfId="18" applyNumberFormat="1" applyFont="1" applyAlignment="1">
      <alignment/>
      <protection/>
    </xf>
    <xf numFmtId="0" fontId="0" fillId="0" borderId="0" xfId="18" applyNumberFormat="1" applyFont="1" applyAlignment="1">
      <alignment/>
      <protection/>
    </xf>
    <xf numFmtId="0" fontId="0" fillId="0" borderId="0" xfId="18" applyAlignment="1">
      <alignment/>
      <protection/>
    </xf>
    <xf numFmtId="0" fontId="7" fillId="0" borderId="0" xfId="18" applyNumberFormat="1" applyFont="1" applyAlignment="1">
      <alignment/>
      <protection/>
    </xf>
    <xf numFmtId="0" fontId="8" fillId="0" borderId="0" xfId="18" applyNumberFormat="1" applyFont="1" applyAlignment="1">
      <alignment/>
      <protection/>
    </xf>
    <xf numFmtId="0" fontId="0" fillId="2" borderId="1" xfId="18" applyNumberFormat="1" applyFont="1" applyFill="1" applyAlignment="1">
      <alignment/>
      <protection/>
    </xf>
    <xf numFmtId="0" fontId="10" fillId="2" borderId="2" xfId="18" applyNumberFormat="1" applyFont="1" applyFill="1" applyAlignment="1">
      <alignment horizontal="center"/>
      <protection/>
    </xf>
    <xf numFmtId="0" fontId="10" fillId="3" borderId="2" xfId="18" applyNumberFormat="1" applyFont="1" applyFill="1" applyAlignment="1">
      <alignment horizontal="center"/>
      <protection/>
    </xf>
    <xf numFmtId="0" fontId="0" fillId="0" borderId="4" xfId="18">
      <alignment/>
      <protection/>
    </xf>
    <xf numFmtId="0" fontId="10" fillId="2" borderId="15" xfId="18" applyNumberFormat="1" applyFont="1" applyFill="1" applyBorder="1" applyAlignment="1">
      <alignment horizontal="center"/>
      <protection/>
    </xf>
    <xf numFmtId="0" fontId="10" fillId="2" borderId="16" xfId="18" applyNumberFormat="1" applyFont="1" applyFill="1" applyBorder="1" applyAlignment="1">
      <alignment horizontal="center"/>
      <protection/>
    </xf>
    <xf numFmtId="0" fontId="10" fillId="3" borderId="16" xfId="18" applyNumberFormat="1" applyFont="1" applyFill="1" applyBorder="1" applyAlignment="1">
      <alignment horizontal="center"/>
      <protection/>
    </xf>
    <xf numFmtId="0" fontId="11" fillId="0" borderId="4" xfId="18" applyNumberFormat="1" applyFont="1" applyBorder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11" fillId="3" borderId="5" xfId="18" applyNumberFormat="1" applyFont="1" applyFill="1" applyBorder="1" applyAlignment="1">
      <alignment horizontal="center"/>
      <protection/>
    </xf>
    <xf numFmtId="166" fontId="10" fillId="0" borderId="4" xfId="18" applyNumberFormat="1" applyFont="1" applyAlignment="1">
      <alignment/>
      <protection/>
    </xf>
    <xf numFmtId="17" fontId="0" fillId="0" borderId="5" xfId="18" applyNumberFormat="1" applyFont="1" applyAlignment="1">
      <alignment horizontal="center"/>
      <protection/>
    </xf>
    <xf numFmtId="9" fontId="0" fillId="3" borderId="5" xfId="18" applyNumberFormat="1" applyFont="1" applyFill="1" applyAlignment="1">
      <alignment horizontal="center"/>
      <protection/>
    </xf>
    <xf numFmtId="166" fontId="0" fillId="0" borderId="4" xfId="18" applyNumberFormat="1" applyFont="1" applyAlignment="1">
      <alignment/>
      <protection/>
    </xf>
    <xf numFmtId="0" fontId="0" fillId="0" borderId="5" xfId="18" applyNumberFormat="1" applyFont="1" applyAlignment="1">
      <alignment horizontal="center"/>
      <protection/>
    </xf>
    <xf numFmtId="166" fontId="10" fillId="2" borderId="1" xfId="18" applyNumberFormat="1" applyFont="1" applyFill="1" applyAlignment="1">
      <alignment/>
      <protection/>
    </xf>
    <xf numFmtId="0" fontId="0" fillId="2" borderId="2" xfId="18" applyNumberFormat="1" applyFont="1" applyFill="1" applyAlignment="1">
      <alignment horizontal="center"/>
      <protection/>
    </xf>
    <xf numFmtId="9" fontId="10" fillId="3" borderId="2" xfId="18" applyNumberFormat="1" applyFont="1" applyFill="1" applyAlignment="1">
      <alignment horizontal="center"/>
      <protection/>
    </xf>
    <xf numFmtId="166" fontId="10" fillId="0" borderId="1" xfId="18" applyNumberFormat="1" applyFont="1" applyAlignment="1">
      <alignment/>
      <protection/>
    </xf>
    <xf numFmtId="0" fontId="0" fillId="0" borderId="2" xfId="18" applyNumberFormat="1" applyFont="1" applyAlignment="1">
      <alignment horizontal="center"/>
      <protection/>
    </xf>
    <xf numFmtId="9" fontId="0" fillId="3" borderId="2" xfId="18" applyNumberFormat="1" applyFont="1" applyFill="1" applyAlignment="1">
      <alignment horizontal="center"/>
      <protection/>
    </xf>
    <xf numFmtId="166" fontId="10" fillId="2" borderId="7" xfId="18" applyNumberFormat="1" applyFont="1" applyFill="1" applyBorder="1" applyAlignment="1">
      <alignment/>
      <protection/>
    </xf>
    <xf numFmtId="0" fontId="0" fillId="2" borderId="8" xfId="18" applyNumberFormat="1" applyFont="1" applyFill="1" applyBorder="1" applyAlignment="1">
      <alignment horizontal="center"/>
      <protection/>
    </xf>
    <xf numFmtId="9" fontId="10" fillId="3" borderId="8" xfId="18" applyNumberFormat="1" applyFont="1" applyFill="1" applyBorder="1" applyAlignment="1">
      <alignment horizontal="center"/>
      <protection/>
    </xf>
    <xf numFmtId="166" fontId="0" fillId="0" borderId="4" xfId="18" applyNumberFormat="1" applyFont="1" applyBorder="1" applyAlignment="1">
      <alignment/>
      <protection/>
    </xf>
    <xf numFmtId="0" fontId="0" fillId="0" borderId="5" xfId="18" applyNumberFormat="1" applyFont="1" applyBorder="1" applyAlignment="1">
      <alignment horizontal="center"/>
      <protection/>
    </xf>
    <xf numFmtId="9" fontId="0" fillId="3" borderId="5" xfId="18" applyNumberFormat="1" applyFont="1" applyFill="1" applyBorder="1" applyAlignment="1">
      <alignment horizontal="center"/>
      <protection/>
    </xf>
    <xf numFmtId="0" fontId="10" fillId="0" borderId="4" xfId="18" applyNumberFormat="1" applyFont="1" applyAlignment="1">
      <alignment/>
      <protection/>
    </xf>
    <xf numFmtId="166" fontId="10" fillId="0" borderId="4" xfId="18" applyNumberFormat="1" applyFont="1" applyBorder="1" applyAlignment="1">
      <alignment/>
      <protection/>
    </xf>
    <xf numFmtId="166" fontId="10" fillId="0" borderId="1" xfId="18" applyNumberFormat="1" applyFont="1" applyBorder="1" applyAlignment="1">
      <alignment/>
      <protection/>
    </xf>
    <xf numFmtId="0" fontId="0" fillId="0" borderId="2" xfId="18" applyNumberFormat="1" applyFont="1" applyBorder="1" applyAlignment="1">
      <alignment horizontal="center"/>
      <protection/>
    </xf>
    <xf numFmtId="9" fontId="0" fillId="3" borderId="2" xfId="18" applyNumberFormat="1" applyFont="1" applyFill="1" applyBorder="1" applyAlignment="1">
      <alignment horizontal="center"/>
      <protection/>
    </xf>
    <xf numFmtId="166" fontId="10" fillId="2" borderId="12" xfId="18" applyNumberFormat="1" applyFont="1" applyFill="1" applyBorder="1" applyAlignment="1">
      <alignment/>
      <protection/>
    </xf>
    <xf numFmtId="0" fontId="0" fillId="2" borderId="10" xfId="18" applyNumberFormat="1" applyFont="1" applyFill="1" applyBorder="1" applyAlignment="1">
      <alignment horizontal="center"/>
      <protection/>
    </xf>
    <xf numFmtId="166" fontId="0" fillId="0" borderId="1" xfId="18" applyNumberFormat="1" applyFont="1" applyAlignment="1">
      <alignment/>
      <protection/>
    </xf>
    <xf numFmtId="166" fontId="10" fillId="2" borderId="1" xfId="18" applyNumberFormat="1" applyFont="1" applyFill="1" applyAlignment="1">
      <alignment horizontal="center"/>
      <protection/>
    </xf>
    <xf numFmtId="4" fontId="10" fillId="0" borderId="0" xfId="18" applyNumberFormat="1" applyFont="1" applyAlignment="1">
      <alignment/>
      <protection/>
    </xf>
    <xf numFmtId="0" fontId="6" fillId="0" borderId="0" xfId="17" applyNumberFormat="1" applyFont="1" applyAlignment="1">
      <alignment/>
      <protection/>
    </xf>
    <xf numFmtId="0" fontId="0" fillId="0" borderId="0" xfId="17" applyNumberFormat="1" applyFont="1" applyAlignment="1">
      <alignment/>
      <protection/>
    </xf>
    <xf numFmtId="0" fontId="0" fillId="0" borderId="0" xfId="17">
      <alignment/>
      <protection/>
    </xf>
    <xf numFmtId="0" fontId="0" fillId="0" borderId="0" xfId="17" applyAlignment="1">
      <alignment/>
      <protection/>
    </xf>
    <xf numFmtId="0" fontId="7" fillId="0" borderId="0" xfId="17" applyNumberFormat="1" applyFont="1" applyAlignment="1">
      <alignment/>
      <protection/>
    </xf>
    <xf numFmtId="0" fontId="8" fillId="0" borderId="0" xfId="17" applyNumberFormat="1" applyFont="1" applyAlignment="1">
      <alignment/>
      <protection/>
    </xf>
    <xf numFmtId="0" fontId="10" fillId="2" borderId="1" xfId="17" applyNumberFormat="1" applyFont="1" applyFill="1" applyAlignment="1">
      <alignment horizontal="center"/>
      <protection/>
    </xf>
    <xf numFmtId="0" fontId="10" fillId="2" borderId="2" xfId="17" applyNumberFormat="1" applyFont="1" applyFill="1" applyAlignment="1">
      <alignment horizontal="center"/>
      <protection/>
    </xf>
    <xf numFmtId="0" fontId="10" fillId="3" borderId="2" xfId="17" applyNumberFormat="1" applyFont="1" applyFill="1" applyAlignment="1">
      <alignment horizontal="center"/>
      <protection/>
    </xf>
    <xf numFmtId="0" fontId="0" fillId="0" borderId="0" xfId="17" applyBorder="1">
      <alignment/>
      <protection/>
    </xf>
    <xf numFmtId="0" fontId="10" fillId="2" borderId="4" xfId="17" applyNumberFormat="1" applyFont="1" applyFill="1" applyAlignment="1">
      <alignment horizontal="center"/>
      <protection/>
    </xf>
    <xf numFmtId="0" fontId="10" fillId="2" borderId="5" xfId="17" applyNumberFormat="1" applyFont="1" applyFill="1" applyAlignment="1">
      <alignment horizontal="center"/>
      <protection/>
    </xf>
    <xf numFmtId="0" fontId="10" fillId="3" borderId="5" xfId="17" applyNumberFormat="1" applyFont="1" applyFill="1" applyAlignment="1">
      <alignment horizontal="center"/>
      <protection/>
    </xf>
    <xf numFmtId="0" fontId="11" fillId="0" borderId="1" xfId="17" applyNumberFormat="1" applyFont="1" applyAlignment="1">
      <alignment horizontal="center"/>
      <protection/>
    </xf>
    <xf numFmtId="0" fontId="11" fillId="0" borderId="2" xfId="17" applyNumberFormat="1" applyFont="1" applyAlignment="1">
      <alignment horizontal="center"/>
      <protection/>
    </xf>
    <xf numFmtId="0" fontId="11" fillId="3" borderId="2" xfId="17" applyNumberFormat="1" applyFont="1" applyFill="1" applyAlignment="1">
      <alignment horizontal="center"/>
      <protection/>
    </xf>
    <xf numFmtId="166" fontId="10" fillId="0" borderId="4" xfId="17" applyNumberFormat="1" applyFont="1" applyAlignment="1">
      <alignment/>
      <protection/>
    </xf>
    <xf numFmtId="17" fontId="0" fillId="0" borderId="5" xfId="17" applyNumberFormat="1" applyFont="1" applyAlignment="1">
      <alignment horizontal="center"/>
      <protection/>
    </xf>
    <xf numFmtId="9" fontId="0" fillId="3" borderId="5" xfId="17" applyNumberFormat="1" applyFont="1" applyFill="1" applyAlignment="1">
      <alignment horizontal="center"/>
      <protection/>
    </xf>
    <xf numFmtId="166" fontId="0" fillId="0" borderId="4" xfId="17" applyNumberFormat="1" applyFont="1" applyAlignment="1">
      <alignment/>
      <protection/>
    </xf>
    <xf numFmtId="0" fontId="0" fillId="0" borderId="5" xfId="17" applyNumberFormat="1" applyFont="1" applyAlignment="1">
      <alignment horizontal="center"/>
      <protection/>
    </xf>
    <xf numFmtId="166" fontId="10" fillId="2" borderId="1" xfId="17" applyNumberFormat="1" applyFont="1" applyFill="1" applyAlignment="1">
      <alignment/>
      <protection/>
    </xf>
    <xf numFmtId="9" fontId="10" fillId="3" borderId="2" xfId="17" applyNumberFormat="1" applyFont="1" applyFill="1" applyAlignment="1">
      <alignment horizontal="center"/>
      <protection/>
    </xf>
    <xf numFmtId="166" fontId="0" fillId="0" borderId="1" xfId="17" applyNumberFormat="1" applyFont="1" applyAlignment="1">
      <alignment/>
      <protection/>
    </xf>
    <xf numFmtId="0" fontId="0" fillId="0" borderId="2" xfId="17" applyNumberFormat="1" applyFont="1" applyAlignment="1">
      <alignment horizontal="center"/>
      <protection/>
    </xf>
    <xf numFmtId="9" fontId="0" fillId="3" borderId="2" xfId="17" applyNumberFormat="1" applyFont="1" applyFill="1" applyAlignment="1">
      <alignment horizontal="center"/>
      <protection/>
    </xf>
    <xf numFmtId="166" fontId="10" fillId="2" borderId="7" xfId="17" applyNumberFormat="1" applyFont="1" applyFill="1" applyBorder="1" applyAlignment="1">
      <alignment/>
      <protection/>
    </xf>
    <xf numFmtId="0" fontId="10" fillId="2" borderId="8" xfId="17" applyNumberFormat="1" applyFont="1" applyFill="1" applyBorder="1" applyAlignment="1">
      <alignment horizontal="center"/>
      <protection/>
    </xf>
    <xf numFmtId="9" fontId="10" fillId="3" borderId="8" xfId="17" applyNumberFormat="1" applyFont="1" applyFill="1" applyBorder="1" applyAlignment="1">
      <alignment horizontal="center"/>
      <protection/>
    </xf>
    <xf numFmtId="166" fontId="0" fillId="0" borderId="4" xfId="17" applyNumberFormat="1" applyFont="1" applyBorder="1" applyAlignment="1">
      <alignment/>
      <protection/>
    </xf>
    <xf numFmtId="0" fontId="0" fillId="0" borderId="5" xfId="17" applyNumberFormat="1" applyFont="1" applyBorder="1" applyAlignment="1">
      <alignment horizontal="center"/>
      <protection/>
    </xf>
    <xf numFmtId="9" fontId="0" fillId="3" borderId="5" xfId="17" applyNumberFormat="1" applyFont="1" applyFill="1" applyBorder="1" applyAlignment="1">
      <alignment horizontal="center"/>
      <protection/>
    </xf>
    <xf numFmtId="0" fontId="10" fillId="0" borderId="4" xfId="17" applyNumberFormat="1" applyFont="1" applyAlignment="1">
      <alignment/>
      <protection/>
    </xf>
    <xf numFmtId="17" fontId="10" fillId="2" borderId="8" xfId="17" applyNumberFormat="1" applyFont="1" applyFill="1" applyBorder="1" applyAlignment="1">
      <alignment horizontal="center"/>
      <protection/>
    </xf>
    <xf numFmtId="0" fontId="0" fillId="0" borderId="5" xfId="17" applyBorder="1">
      <alignment/>
      <protection/>
    </xf>
    <xf numFmtId="0" fontId="0" fillId="3" borderId="5" xfId="17" applyFont="1" applyFill="1" applyBorder="1" applyAlignment="1">
      <alignment/>
      <protection/>
    </xf>
    <xf numFmtId="0" fontId="0" fillId="2" borderId="8" xfId="17" applyNumberFormat="1" applyFont="1" applyFill="1" applyBorder="1" applyAlignment="1">
      <alignment horizontal="center"/>
      <protection/>
    </xf>
    <xf numFmtId="166" fontId="10" fillId="2" borderId="12" xfId="17" applyNumberFormat="1" applyFont="1" applyFill="1" applyBorder="1" applyAlignment="1">
      <alignment/>
      <protection/>
    </xf>
    <xf numFmtId="0" fontId="10" fillId="2" borderId="10" xfId="17" applyNumberFormat="1" applyFont="1" applyFill="1" applyBorder="1" applyAlignment="1">
      <alignment horizontal="center"/>
      <protection/>
    </xf>
    <xf numFmtId="166" fontId="10" fillId="2" borderId="1" xfId="17" applyNumberFormat="1" applyFont="1" applyFill="1" applyAlignment="1">
      <alignment horizontal="center"/>
      <protection/>
    </xf>
    <xf numFmtId="166" fontId="10" fillId="0" borderId="13" xfId="17" applyNumberFormat="1" applyFont="1" applyAlignment="1">
      <alignment/>
      <protection/>
    </xf>
    <xf numFmtId="0" fontId="10" fillId="0" borderId="13" xfId="17" applyNumberFormat="1" applyFont="1" applyAlignment="1">
      <alignment horizontal="center"/>
      <protection/>
    </xf>
    <xf numFmtId="4" fontId="10" fillId="0" borderId="13" xfId="17" applyNumberFormat="1" applyFont="1" applyAlignment="1">
      <alignment horizontal="center"/>
      <protection/>
    </xf>
    <xf numFmtId="0" fontId="13" fillId="0" borderId="0" xfId="17" applyNumberFormat="1" applyFont="1" applyAlignment="1">
      <alignment/>
      <protection/>
    </xf>
    <xf numFmtId="17" fontId="10" fillId="0" borderId="0" xfId="17" applyNumberFormat="1" applyFont="1" applyAlignment="1">
      <alignment horizontal="center"/>
      <protection/>
    </xf>
    <xf numFmtId="4" fontId="10" fillId="0" borderId="0" xfId="17" applyNumberFormat="1" applyFont="1" applyAlignment="1">
      <alignment horizontal="center"/>
      <protection/>
    </xf>
    <xf numFmtId="0" fontId="10" fillId="0" borderId="0" xfId="17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9" fillId="2" borderId="2" xfId="0" applyNumberFormat="1" applyFont="1" applyFill="1" applyAlignment="1">
      <alignment horizontal="center"/>
    </xf>
    <xf numFmtId="3" fontId="9" fillId="2" borderId="5" xfId="0" applyNumberFormat="1" applyFont="1" applyFill="1" applyAlignment="1">
      <alignment horizontal="center"/>
    </xf>
    <xf numFmtId="3" fontId="11" fillId="0" borderId="2" xfId="0" applyNumberFormat="1" applyFont="1" applyAlignment="1">
      <alignment horizontal="center"/>
    </xf>
    <xf numFmtId="3" fontId="0" fillId="0" borderId="2" xfId="0" applyNumberFormat="1" applyAlignment="1">
      <alignment/>
    </xf>
    <xf numFmtId="3" fontId="0" fillId="0" borderId="5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18" applyNumberFormat="1" applyFont="1" applyAlignment="1">
      <alignment/>
      <protection/>
    </xf>
    <xf numFmtId="3" fontId="10" fillId="2" borderId="2" xfId="18" applyNumberFormat="1" applyFont="1" applyFill="1" applyAlignment="1">
      <alignment horizontal="center"/>
      <protection/>
    </xf>
    <xf numFmtId="3" fontId="10" fillId="2" borderId="16" xfId="18" applyNumberFormat="1" applyFont="1" applyFill="1" applyBorder="1" applyAlignment="1">
      <alignment horizontal="center"/>
      <protection/>
    </xf>
    <xf numFmtId="3" fontId="11" fillId="0" borderId="5" xfId="18" applyNumberFormat="1" applyFont="1" applyBorder="1" applyAlignment="1">
      <alignment horizontal="center"/>
      <protection/>
    </xf>
    <xf numFmtId="3" fontId="0" fillId="0" borderId="5" xfId="18" applyNumberFormat="1" applyFont="1" applyAlignment="1">
      <alignment horizontal="center"/>
      <protection/>
    </xf>
    <xf numFmtId="3" fontId="0" fillId="0" borderId="2" xfId="18" applyNumberFormat="1" applyFont="1" applyAlignment="1">
      <alignment horizontal="center"/>
      <protection/>
    </xf>
    <xf numFmtId="3" fontId="10" fillId="2" borderId="8" xfId="18" applyNumberFormat="1" applyFont="1" applyFill="1" applyBorder="1" applyAlignment="1">
      <alignment horizontal="center"/>
      <protection/>
    </xf>
    <xf numFmtId="3" fontId="0" fillId="0" borderId="5" xfId="18" applyNumberFormat="1" applyFont="1" applyBorder="1" applyAlignment="1">
      <alignment horizontal="center"/>
      <protection/>
    </xf>
    <xf numFmtId="3" fontId="0" fillId="0" borderId="2" xfId="18" applyNumberFormat="1" applyFont="1" applyBorder="1" applyAlignment="1">
      <alignment horizontal="center"/>
      <protection/>
    </xf>
    <xf numFmtId="3" fontId="10" fillId="2" borderId="10" xfId="18" applyNumberFormat="1" applyFont="1" applyFill="1" applyBorder="1" applyAlignment="1">
      <alignment horizontal="center"/>
      <protection/>
    </xf>
    <xf numFmtId="3" fontId="10" fillId="0" borderId="0" xfId="18" applyNumberFormat="1" applyFont="1" applyAlignment="1">
      <alignment/>
      <protection/>
    </xf>
    <xf numFmtId="3" fontId="0" fillId="0" borderId="0" xfId="18" applyNumberFormat="1" applyAlignment="1">
      <alignment/>
      <protection/>
    </xf>
    <xf numFmtId="167" fontId="0" fillId="0" borderId="0" xfId="18" applyNumberFormat="1" applyFont="1" applyAlignment="1">
      <alignment/>
      <protection/>
    </xf>
    <xf numFmtId="167" fontId="10" fillId="0" borderId="0" xfId="18" applyNumberFormat="1" applyFont="1" applyAlignment="1">
      <alignment horizontal="center"/>
      <protection/>
    </xf>
    <xf numFmtId="167" fontId="10" fillId="2" borderId="2" xfId="18" applyNumberFormat="1" applyFont="1" applyFill="1" applyAlignment="1">
      <alignment horizontal="center"/>
      <protection/>
    </xf>
    <xf numFmtId="167" fontId="10" fillId="2" borderId="17" xfId="18" applyNumberFormat="1" applyFont="1" applyFill="1" applyBorder="1" applyAlignment="1">
      <alignment horizontal="center"/>
      <protection/>
    </xf>
    <xf numFmtId="167" fontId="11" fillId="0" borderId="6" xfId="18" applyNumberFormat="1" applyFont="1" applyBorder="1" applyAlignment="1">
      <alignment horizontal="center"/>
      <protection/>
    </xf>
    <xf numFmtId="167" fontId="0" fillId="0" borderId="5" xfId="18" applyNumberFormat="1" applyFont="1" applyAlignment="1">
      <alignment horizontal="center"/>
      <protection/>
    </xf>
    <xf numFmtId="167" fontId="0" fillId="0" borderId="2" xfId="18" applyNumberFormat="1" applyFont="1" applyAlignment="1">
      <alignment horizontal="center"/>
      <protection/>
    </xf>
    <xf numFmtId="167" fontId="10" fillId="2" borderId="9" xfId="18" applyNumberFormat="1" applyFont="1" applyFill="1" applyBorder="1" applyAlignment="1">
      <alignment horizontal="center"/>
      <protection/>
    </xf>
    <xf numFmtId="167" fontId="0" fillId="0" borderId="6" xfId="18" applyNumberFormat="1" applyFont="1" applyBorder="1" applyAlignment="1">
      <alignment horizontal="center"/>
      <protection/>
    </xf>
    <xf numFmtId="167" fontId="0" fillId="0" borderId="3" xfId="18" applyNumberFormat="1" applyFont="1" applyBorder="1" applyAlignment="1">
      <alignment horizontal="center"/>
      <protection/>
    </xf>
    <xf numFmtId="167" fontId="10" fillId="0" borderId="0" xfId="18" applyNumberFormat="1" applyFont="1" applyAlignment="1">
      <alignment/>
      <protection/>
    </xf>
    <xf numFmtId="167" fontId="0" fillId="0" borderId="0" xfId="18" applyNumberFormat="1" applyAlignment="1">
      <alignment/>
      <protection/>
    </xf>
    <xf numFmtId="3" fontId="0" fillId="0" borderId="0" xfId="17" applyNumberFormat="1" applyFont="1" applyAlignment="1">
      <alignment/>
      <protection/>
    </xf>
    <xf numFmtId="3" fontId="10" fillId="2" borderId="2" xfId="17" applyNumberFormat="1" applyFont="1" applyFill="1" applyAlignment="1">
      <alignment horizontal="center"/>
      <protection/>
    </xf>
    <xf numFmtId="3" fontId="10" fillId="2" borderId="5" xfId="17" applyNumberFormat="1" applyFont="1" applyFill="1" applyAlignment="1">
      <alignment horizontal="center"/>
      <protection/>
    </xf>
    <xf numFmtId="3" fontId="11" fillId="0" borderId="2" xfId="17" applyNumberFormat="1" applyFont="1" applyAlignment="1">
      <alignment horizontal="center"/>
      <protection/>
    </xf>
    <xf numFmtId="3" fontId="0" fillId="0" borderId="5" xfId="17" applyNumberFormat="1" applyFont="1" applyAlignment="1">
      <alignment horizontal="center"/>
      <protection/>
    </xf>
    <xf numFmtId="3" fontId="0" fillId="0" borderId="2" xfId="17" applyNumberFormat="1" applyFont="1" applyAlignment="1">
      <alignment horizontal="center"/>
      <protection/>
    </xf>
    <xf numFmtId="3" fontId="10" fillId="2" borderId="8" xfId="17" applyNumberFormat="1" applyFont="1" applyFill="1" applyBorder="1" applyAlignment="1">
      <alignment horizontal="center"/>
      <protection/>
    </xf>
    <xf numFmtId="3" fontId="0" fillId="0" borderId="5" xfId="17" applyNumberFormat="1" applyFont="1" applyBorder="1" applyAlignment="1">
      <alignment horizontal="center"/>
      <protection/>
    </xf>
    <xf numFmtId="3" fontId="0" fillId="0" borderId="5" xfId="17" applyNumberFormat="1" applyBorder="1">
      <alignment/>
      <protection/>
    </xf>
    <xf numFmtId="3" fontId="10" fillId="2" borderId="10" xfId="17" applyNumberFormat="1" applyFont="1" applyFill="1" applyBorder="1" applyAlignment="1">
      <alignment horizontal="center"/>
      <protection/>
    </xf>
    <xf numFmtId="3" fontId="10" fillId="0" borderId="13" xfId="17" applyNumberFormat="1" applyFont="1" applyAlignment="1">
      <alignment horizontal="center"/>
      <protection/>
    </xf>
    <xf numFmtId="3" fontId="10" fillId="0" borderId="0" xfId="17" applyNumberFormat="1" applyFont="1" applyAlignment="1">
      <alignment horizontal="center"/>
      <protection/>
    </xf>
    <xf numFmtId="3" fontId="0" fillId="0" borderId="0" xfId="17" applyNumberFormat="1" applyAlignment="1">
      <alignment/>
      <protection/>
    </xf>
    <xf numFmtId="167" fontId="0" fillId="0" borderId="0" xfId="17" applyNumberFormat="1" applyFont="1" applyAlignment="1">
      <alignment/>
      <protection/>
    </xf>
    <xf numFmtId="167" fontId="10" fillId="0" borderId="0" xfId="17" applyNumberFormat="1" applyFont="1" applyAlignment="1">
      <alignment horizontal="centerContinuous"/>
      <protection/>
    </xf>
    <xf numFmtId="167" fontId="10" fillId="2" borderId="2" xfId="17" applyNumberFormat="1" applyFont="1" applyFill="1" applyAlignment="1">
      <alignment horizontal="center"/>
      <protection/>
    </xf>
    <xf numFmtId="167" fontId="10" fillId="2" borderId="3" xfId="17" applyNumberFormat="1" applyFont="1" applyFill="1" applyBorder="1" applyAlignment="1">
      <alignment horizontal="center"/>
      <protection/>
    </xf>
    <xf numFmtId="167" fontId="10" fillId="2" borderId="5" xfId="17" applyNumberFormat="1" applyFont="1" applyFill="1" applyAlignment="1">
      <alignment horizontal="center"/>
      <protection/>
    </xf>
    <xf numFmtId="167" fontId="11" fillId="0" borderId="2" xfId="17" applyNumberFormat="1" applyFont="1" applyAlignment="1">
      <alignment horizontal="center"/>
      <protection/>
    </xf>
    <xf numFmtId="167" fontId="11" fillId="0" borderId="3" xfId="17" applyNumberFormat="1" applyFont="1" applyBorder="1" applyAlignment="1">
      <alignment horizontal="center"/>
      <protection/>
    </xf>
    <xf numFmtId="167" fontId="0" fillId="0" borderId="5" xfId="17" applyNumberFormat="1" applyFont="1" applyAlignment="1">
      <alignment horizontal="center"/>
      <protection/>
    </xf>
    <xf numFmtId="167" fontId="0" fillId="0" borderId="6" xfId="17" applyNumberFormat="1" applyFont="1" applyBorder="1" applyAlignment="1">
      <alignment horizontal="center"/>
      <protection/>
    </xf>
    <xf numFmtId="167" fontId="0" fillId="0" borderId="2" xfId="17" applyNumberFormat="1" applyFont="1" applyAlignment="1">
      <alignment horizontal="center"/>
      <protection/>
    </xf>
    <xf numFmtId="167" fontId="0" fillId="0" borderId="3" xfId="17" applyNumberFormat="1" applyFont="1" applyBorder="1" applyAlignment="1">
      <alignment horizontal="center"/>
      <protection/>
    </xf>
    <xf numFmtId="167" fontId="10" fillId="2" borderId="8" xfId="17" applyNumberFormat="1" applyFont="1" applyFill="1" applyBorder="1" applyAlignment="1">
      <alignment horizontal="center"/>
      <protection/>
    </xf>
    <xf numFmtId="167" fontId="10" fillId="2" borderId="9" xfId="17" applyNumberFormat="1" applyFont="1" applyFill="1" applyBorder="1" applyAlignment="1">
      <alignment horizontal="center"/>
      <protection/>
    </xf>
    <xf numFmtId="167" fontId="0" fillId="0" borderId="5" xfId="17" applyNumberFormat="1" applyFont="1" applyBorder="1" applyAlignment="1">
      <alignment horizontal="center"/>
      <protection/>
    </xf>
    <xf numFmtId="167" fontId="0" fillId="0" borderId="5" xfId="17" applyNumberFormat="1" applyBorder="1">
      <alignment/>
      <protection/>
    </xf>
    <xf numFmtId="167" fontId="0" fillId="0" borderId="6" xfId="17" applyNumberFormat="1" applyBorder="1">
      <alignment/>
      <protection/>
    </xf>
    <xf numFmtId="167" fontId="10" fillId="2" borderId="10" xfId="17" applyNumberFormat="1" applyFont="1" applyFill="1" applyBorder="1" applyAlignment="1">
      <alignment horizontal="center"/>
      <protection/>
    </xf>
    <xf numFmtId="167" fontId="10" fillId="0" borderId="13" xfId="17" applyNumberFormat="1" applyFont="1" applyAlignment="1">
      <alignment horizontal="center"/>
      <protection/>
    </xf>
    <xf numFmtId="167" fontId="10" fillId="0" borderId="0" xfId="17" applyNumberFormat="1" applyFont="1" applyAlignment="1">
      <alignment horizontal="center"/>
      <protection/>
    </xf>
    <xf numFmtId="167" fontId="0" fillId="0" borderId="0" xfId="17" applyNumberFormat="1" applyAlignment="1">
      <alignment/>
      <protection/>
    </xf>
    <xf numFmtId="167" fontId="10" fillId="2" borderId="3" xfId="17" applyNumberFormat="1" applyFont="1" applyFill="1" applyBorder="1" applyAlignment="1">
      <alignment/>
      <protection/>
    </xf>
    <xf numFmtId="167" fontId="10" fillId="2" borderId="6" xfId="17" applyNumberFormat="1" applyFont="1" applyFill="1" applyBorder="1" applyAlignment="1">
      <alignment/>
      <protection/>
    </xf>
    <xf numFmtId="166" fontId="10" fillId="0" borderId="18" xfId="18" applyNumberFormat="1" applyFont="1" applyBorder="1" applyAlignment="1">
      <alignment/>
      <protection/>
    </xf>
    <xf numFmtId="166" fontId="10" fillId="0" borderId="0" xfId="17" applyNumberFormat="1" applyFont="1" applyBorder="1" applyAlignment="1">
      <alignment/>
      <protection/>
    </xf>
    <xf numFmtId="167" fontId="10" fillId="0" borderId="0" xfId="17" applyNumberFormat="1" applyFont="1" applyBorder="1" applyAlignment="1">
      <alignment horizontal="center"/>
      <protection/>
    </xf>
    <xf numFmtId="0" fontId="10" fillId="0" borderId="0" xfId="17" applyNumberFormat="1" applyFont="1" applyBorder="1" applyAlignment="1">
      <alignment horizontal="center"/>
      <protection/>
    </xf>
    <xf numFmtId="3" fontId="10" fillId="0" borderId="0" xfId="17" applyNumberFormat="1" applyFont="1" applyBorder="1" applyAlignment="1">
      <alignment horizontal="center"/>
      <protection/>
    </xf>
    <xf numFmtId="4" fontId="10" fillId="0" borderId="0" xfId="17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2" borderId="11" xfId="18" applyNumberFormat="1" applyFont="1" applyFill="1" applyBorder="1" applyAlignment="1">
      <alignment horizontal="center"/>
      <protection/>
    </xf>
    <xf numFmtId="3" fontId="10" fillId="2" borderId="19" xfId="18" applyNumberFormat="1" applyFont="1" applyFill="1" applyBorder="1" applyAlignment="1">
      <alignment horizontal="center"/>
      <protection/>
    </xf>
    <xf numFmtId="166" fontId="13" fillId="0" borderId="0" xfId="18" applyNumberFormat="1" applyFont="1" applyAlignment="1">
      <alignment/>
      <protection/>
    </xf>
    <xf numFmtId="166" fontId="13" fillId="0" borderId="0" xfId="0" applyNumberFormat="1" applyFont="1" applyAlignment="1">
      <alignment/>
    </xf>
    <xf numFmtId="166" fontId="10" fillId="2" borderId="7" xfId="18" applyNumberFormat="1" applyFont="1" applyFill="1" applyBorder="1" applyAlignment="1">
      <alignment horizontal="center"/>
      <protection/>
    </xf>
    <xf numFmtId="0" fontId="10" fillId="2" borderId="8" xfId="18" applyNumberFormat="1" applyFont="1" applyFill="1" applyBorder="1" applyAlignment="1">
      <alignment horizontal="center"/>
      <protection/>
    </xf>
    <xf numFmtId="167" fontId="10" fillId="2" borderId="20" xfId="18" applyNumberFormat="1" applyFont="1" applyFill="1" applyBorder="1" applyAlignment="1">
      <alignment horizontal="center"/>
      <protection/>
    </xf>
    <xf numFmtId="9" fontId="10" fillId="3" borderId="10" xfId="18" applyNumberFormat="1" applyFont="1" applyFill="1" applyBorder="1" applyAlignment="1">
      <alignment horizontal="center"/>
      <protection/>
    </xf>
    <xf numFmtId="9" fontId="10" fillId="3" borderId="21" xfId="18" applyNumberFormat="1" applyFont="1" applyFill="1" applyBorder="1" applyAlignment="1">
      <alignment horizontal="center"/>
      <protection/>
    </xf>
    <xf numFmtId="167" fontId="10" fillId="2" borderId="20" xfId="17" applyNumberFormat="1" applyFont="1" applyFill="1" applyBorder="1" applyAlignment="1">
      <alignment horizontal="center"/>
      <protection/>
    </xf>
    <xf numFmtId="9" fontId="10" fillId="3" borderId="11" xfId="17" applyNumberFormat="1" applyFont="1" applyFill="1" applyBorder="1" applyAlignment="1">
      <alignment horizontal="center"/>
      <protection/>
    </xf>
    <xf numFmtId="3" fontId="10" fillId="2" borderId="11" xfId="17" applyNumberFormat="1" applyFont="1" applyFill="1" applyBorder="1" applyAlignment="1">
      <alignment horizontal="center"/>
      <protection/>
    </xf>
    <xf numFmtId="9" fontId="10" fillId="3" borderId="10" xfId="17" applyNumberFormat="1" applyFont="1" applyFill="1" applyBorder="1" applyAlignment="1">
      <alignment horizontal="center"/>
      <protection/>
    </xf>
    <xf numFmtId="0" fontId="10" fillId="0" borderId="0" xfId="17" applyNumberFormat="1" applyFont="1" applyBorder="1" applyAlignment="1">
      <alignment horizontal="left"/>
      <protection/>
    </xf>
  </cellXfs>
  <cellStyles count="6">
    <cellStyle name="Normal" xfId="0"/>
    <cellStyle name="Followed Hyperlink" xfId="15"/>
    <cellStyle name="Hyperlink" xfId="16"/>
    <cellStyle name="Normal_SLOT STATS" xfId="17"/>
    <cellStyle name="Normal_TABLE STATS" xfId="18"/>
    <cellStyle name="Normal_YTD TAXES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4"/>
  <sheetViews>
    <sheetView tabSelected="1" showOutlineSymbols="0" zoomScale="87" zoomScaleNormal="87" workbookViewId="0" topLeftCell="A1">
      <selection activeCell="A3" sqref="A3"/>
    </sheetView>
  </sheetViews>
  <sheetFormatPr defaultColWidth="8.88671875" defaultRowHeight="15"/>
  <cols>
    <col min="1" max="1" width="21.66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222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15"/>
      <c r="L1" s="215"/>
      <c r="M1" s="2"/>
      <c r="N1" s="2"/>
      <c r="O1" s="2"/>
      <c r="P1" s="2"/>
      <c r="Q1" s="2"/>
      <c r="R1" s="2"/>
    </row>
    <row r="2" spans="1:18" ht="18" customHeight="1">
      <c r="A2" s="4" t="s">
        <v>67</v>
      </c>
      <c r="B2" s="2"/>
      <c r="C2" s="2"/>
      <c r="D2" s="2"/>
      <c r="E2" s="2"/>
      <c r="F2" s="2"/>
      <c r="G2" s="2"/>
      <c r="H2" s="2"/>
      <c r="I2" s="2"/>
      <c r="J2" s="2"/>
      <c r="K2" s="215"/>
      <c r="L2" s="215"/>
      <c r="M2" s="2"/>
      <c r="N2" s="2"/>
      <c r="O2" s="2"/>
      <c r="P2" s="2"/>
      <c r="Q2" s="2"/>
      <c r="R2" s="2"/>
    </row>
    <row r="3" spans="1:18" ht="18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15"/>
      <c r="L3" s="215"/>
      <c r="M3" s="2"/>
      <c r="N3" s="2"/>
      <c r="O3" s="2"/>
      <c r="P3" s="2"/>
      <c r="Q3" s="2"/>
      <c r="R3" s="2"/>
    </row>
    <row r="4" spans="1:18" ht="15">
      <c r="A4" s="5" t="s">
        <v>72</v>
      </c>
      <c r="B4" s="2"/>
      <c r="C4" s="2"/>
      <c r="D4" s="2"/>
      <c r="E4" s="2"/>
      <c r="F4" s="2"/>
      <c r="G4" s="2"/>
      <c r="H4" s="2"/>
      <c r="I4" s="2"/>
      <c r="J4" s="2"/>
      <c r="K4" s="215"/>
      <c r="L4" s="215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6" t="s">
        <v>1</v>
      </c>
      <c r="J5" s="6" t="s">
        <v>1</v>
      </c>
      <c r="K5" s="215"/>
      <c r="L5" s="215"/>
      <c r="M5" s="2"/>
      <c r="N5" s="2"/>
      <c r="O5" s="2"/>
      <c r="P5" s="2"/>
      <c r="Q5" s="2"/>
      <c r="R5" s="2"/>
    </row>
    <row r="6" spans="1:18" ht="16.5" thickTop="1">
      <c r="A6" s="7"/>
      <c r="B6" s="8" t="s">
        <v>2</v>
      </c>
      <c r="C6" s="8" t="s">
        <v>1</v>
      </c>
      <c r="D6" s="8" t="s">
        <v>3</v>
      </c>
      <c r="E6" s="9"/>
      <c r="F6" s="8" t="s">
        <v>1</v>
      </c>
      <c r="G6" s="8" t="s">
        <v>3</v>
      </c>
      <c r="H6" s="9"/>
      <c r="I6" s="8" t="s">
        <v>4</v>
      </c>
      <c r="J6" s="8" t="s">
        <v>4</v>
      </c>
      <c r="K6" s="216" t="s">
        <v>1</v>
      </c>
      <c r="L6" s="216" t="s">
        <v>3</v>
      </c>
      <c r="M6" s="10"/>
      <c r="N6" s="11"/>
      <c r="R6" s="2"/>
    </row>
    <row r="7" spans="1:18" ht="16.5" thickBot="1">
      <c r="A7" s="12" t="s">
        <v>5</v>
      </c>
      <c r="B7" s="13" t="s">
        <v>6</v>
      </c>
      <c r="C7" s="13" t="s">
        <v>7</v>
      </c>
      <c r="D7" s="13" t="s">
        <v>7</v>
      </c>
      <c r="E7" s="14" t="s">
        <v>8</v>
      </c>
      <c r="F7" s="13" t="s">
        <v>9</v>
      </c>
      <c r="G7" s="13" t="s">
        <v>9</v>
      </c>
      <c r="H7" s="14" t="s">
        <v>8</v>
      </c>
      <c r="I7" s="13" t="s">
        <v>10</v>
      </c>
      <c r="J7" s="13" t="s">
        <v>11</v>
      </c>
      <c r="K7" s="217" t="s">
        <v>12</v>
      </c>
      <c r="L7" s="217" t="s">
        <v>12</v>
      </c>
      <c r="M7" s="15" t="s">
        <v>8</v>
      </c>
      <c r="N7" s="11"/>
      <c r="R7" s="2"/>
    </row>
    <row r="8" spans="1:18" ht="16.5" thickTop="1">
      <c r="A8" s="16"/>
      <c r="B8" s="17"/>
      <c r="C8" s="17"/>
      <c r="D8" s="17"/>
      <c r="E8" s="18"/>
      <c r="F8" s="17"/>
      <c r="G8" s="17"/>
      <c r="H8" s="18"/>
      <c r="I8" s="17"/>
      <c r="J8" s="17"/>
      <c r="K8" s="218"/>
      <c r="L8" s="218"/>
      <c r="M8" s="19"/>
      <c r="N8" s="11"/>
      <c r="R8" s="2"/>
    </row>
    <row r="9" spans="1:18" ht="15.75">
      <c r="A9" s="20" t="s">
        <v>13</v>
      </c>
      <c r="B9" s="21">
        <f>DATE(2010,7,1)</f>
        <v>40360</v>
      </c>
      <c r="C9" s="22">
        <v>469083</v>
      </c>
      <c r="D9" s="23">
        <v>474469</v>
      </c>
      <c r="E9" s="24">
        <f aca="true" t="shared" si="0" ref="E9:E18">(+C9-D9)/D9</f>
        <v>-0.011351637304017755</v>
      </c>
      <c r="F9" s="22">
        <f>+C9-242053</f>
        <v>227030</v>
      </c>
      <c r="G9" s="22">
        <f>+D9-241271</f>
        <v>233198</v>
      </c>
      <c r="H9" s="24">
        <f aca="true" t="shared" si="1" ref="H9:H18">(+F9-G9)/G9</f>
        <v>-0.026449626497654352</v>
      </c>
      <c r="I9" s="25">
        <f aca="true" t="shared" si="2" ref="I9:I18">K9/C9</f>
        <v>35.29628381331236</v>
      </c>
      <c r="J9" s="25">
        <f aca="true" t="shared" si="3" ref="J9:J18">K9/F9</f>
        <v>72.92818878562304</v>
      </c>
      <c r="K9" s="22">
        <v>16556886.7</v>
      </c>
      <c r="L9" s="22">
        <v>17258760.23</v>
      </c>
      <c r="M9" s="26">
        <f aca="true" t="shared" si="4" ref="M9:M18">(+K9-L9)/L9</f>
        <v>-0.040667667934801664</v>
      </c>
      <c r="N9" s="11"/>
      <c r="R9" s="2"/>
    </row>
    <row r="10" spans="1:18" ht="15.75">
      <c r="A10" s="20"/>
      <c r="B10" s="21">
        <f>DATE(2010,8,1)</f>
        <v>40391</v>
      </c>
      <c r="C10" s="22">
        <v>448756</v>
      </c>
      <c r="D10" s="23">
        <v>467594</v>
      </c>
      <c r="E10" s="24">
        <f t="shared" si="0"/>
        <v>-0.04028708666065005</v>
      </c>
      <c r="F10" s="22">
        <f>+C10-230652</f>
        <v>218104</v>
      </c>
      <c r="G10" s="22">
        <f>+D10-239069</f>
        <v>228525</v>
      </c>
      <c r="H10" s="24">
        <f t="shared" si="1"/>
        <v>-0.04560113773110163</v>
      </c>
      <c r="I10" s="25">
        <f t="shared" si="2"/>
        <v>34.36687888295644</v>
      </c>
      <c r="J10" s="25">
        <f t="shared" si="3"/>
        <v>70.71095945053736</v>
      </c>
      <c r="K10" s="22">
        <v>15422343.1</v>
      </c>
      <c r="L10" s="22">
        <v>16712531.76</v>
      </c>
      <c r="M10" s="26">
        <f t="shared" si="4"/>
        <v>-0.07719887558197228</v>
      </c>
      <c r="N10" s="11"/>
      <c r="R10" s="2"/>
    </row>
    <row r="11" spans="1:18" ht="15.75">
      <c r="A11" s="20"/>
      <c r="B11" s="21">
        <f>DATE(2010,9,1)</f>
        <v>40422</v>
      </c>
      <c r="C11" s="22">
        <v>444138</v>
      </c>
      <c r="D11" s="23">
        <v>439269</v>
      </c>
      <c r="E11" s="24">
        <f t="shared" si="0"/>
        <v>0.011084324184042125</v>
      </c>
      <c r="F11" s="22">
        <f>+C11-230380</f>
        <v>213758</v>
      </c>
      <c r="G11" s="22">
        <f>+D11-222901</f>
        <v>216368</v>
      </c>
      <c r="H11" s="24">
        <f t="shared" si="1"/>
        <v>-0.012062781927087185</v>
      </c>
      <c r="I11" s="25">
        <f t="shared" si="2"/>
        <v>35.0910742156717</v>
      </c>
      <c r="J11" s="25">
        <f t="shared" si="3"/>
        <v>72.91085957016813</v>
      </c>
      <c r="K11" s="22">
        <v>15585279.52</v>
      </c>
      <c r="L11" s="22">
        <v>15717272.5</v>
      </c>
      <c r="M11" s="26">
        <f t="shared" si="4"/>
        <v>-0.008397957088292543</v>
      </c>
      <c r="N11" s="11"/>
      <c r="R11" s="2"/>
    </row>
    <row r="12" spans="1:18" ht="15.75">
      <c r="A12" s="20"/>
      <c r="B12" s="21">
        <f>DATE(2010,10,1)</f>
        <v>40452</v>
      </c>
      <c r="C12" s="22">
        <v>456903</v>
      </c>
      <c r="D12" s="23">
        <v>471477</v>
      </c>
      <c r="E12" s="24">
        <f t="shared" si="0"/>
        <v>-0.03091137001380767</v>
      </c>
      <c r="F12" s="22">
        <f>+C12-240004</f>
        <v>216899</v>
      </c>
      <c r="G12" s="22">
        <f>+D12-240118</f>
        <v>231359</v>
      </c>
      <c r="H12" s="24">
        <f t="shared" si="1"/>
        <v>-0.06250027014293803</v>
      </c>
      <c r="I12" s="25">
        <f t="shared" si="2"/>
        <v>35.40499414536564</v>
      </c>
      <c r="J12" s="25">
        <f t="shared" si="3"/>
        <v>74.58147819953065</v>
      </c>
      <c r="K12" s="22">
        <v>16176648.04</v>
      </c>
      <c r="L12" s="22">
        <v>16519954.51</v>
      </c>
      <c r="M12" s="26">
        <f t="shared" si="4"/>
        <v>-0.020781320541299764</v>
      </c>
      <c r="N12" s="11"/>
      <c r="R12" s="2"/>
    </row>
    <row r="13" spans="1:18" ht="15.75">
      <c r="A13" s="20"/>
      <c r="B13" s="21">
        <f>DATE(2010,11,1)</f>
        <v>40483</v>
      </c>
      <c r="C13" s="22">
        <v>418716</v>
      </c>
      <c r="D13" s="23">
        <v>445861</v>
      </c>
      <c r="E13" s="24">
        <f t="shared" si="0"/>
        <v>-0.06088220319785763</v>
      </c>
      <c r="F13" s="22">
        <f>+C13-219255</f>
        <v>199461</v>
      </c>
      <c r="G13" s="22">
        <f>+D13-229443</f>
        <v>216418</v>
      </c>
      <c r="H13" s="24">
        <f t="shared" si="1"/>
        <v>-0.07835300206082674</v>
      </c>
      <c r="I13" s="25">
        <f t="shared" si="2"/>
        <v>36.12067835955636</v>
      </c>
      <c r="J13" s="25">
        <f t="shared" si="3"/>
        <v>75.82588054807707</v>
      </c>
      <c r="K13" s="22">
        <v>15124305.96</v>
      </c>
      <c r="L13" s="22">
        <v>15796004.29</v>
      </c>
      <c r="M13" s="26">
        <f t="shared" si="4"/>
        <v>-0.04252330637978057</v>
      </c>
      <c r="N13" s="11"/>
      <c r="R13" s="2"/>
    </row>
    <row r="14" spans="1:18" ht="15.75">
      <c r="A14" s="20"/>
      <c r="B14" s="21">
        <f>DATE(2010,12,1)</f>
        <v>40513</v>
      </c>
      <c r="C14" s="22">
        <v>443934</v>
      </c>
      <c r="D14" s="23">
        <v>422734</v>
      </c>
      <c r="E14" s="24">
        <f t="shared" si="0"/>
        <v>0.05014973955253185</v>
      </c>
      <c r="F14" s="22">
        <f>+C14-233658</f>
        <v>210276</v>
      </c>
      <c r="G14" s="22">
        <f>+D14-218757</f>
        <v>203977</v>
      </c>
      <c r="H14" s="24">
        <f t="shared" si="1"/>
        <v>0.030880932654171793</v>
      </c>
      <c r="I14" s="25">
        <f t="shared" si="2"/>
        <v>36.8543935134502</v>
      </c>
      <c r="J14" s="25">
        <f t="shared" si="3"/>
        <v>77.8068744412106</v>
      </c>
      <c r="K14" s="22">
        <v>16360918.33</v>
      </c>
      <c r="L14" s="22">
        <v>15122365.35</v>
      </c>
      <c r="M14" s="26">
        <f t="shared" si="4"/>
        <v>0.08190206699377227</v>
      </c>
      <c r="N14" s="11"/>
      <c r="R14" s="2"/>
    </row>
    <row r="15" spans="1:18" ht="15.75">
      <c r="A15" s="20"/>
      <c r="B15" s="21">
        <f>DATE(2011,1,1)</f>
        <v>40544</v>
      </c>
      <c r="C15" s="22">
        <v>419308</v>
      </c>
      <c r="D15" s="23">
        <v>445052</v>
      </c>
      <c r="E15" s="24">
        <f t="shared" si="0"/>
        <v>-0.057844925986176896</v>
      </c>
      <c r="F15" s="22">
        <f>+C15-229700</f>
        <v>189608</v>
      </c>
      <c r="G15" s="22">
        <f>+D15-235170</f>
        <v>209882</v>
      </c>
      <c r="H15" s="24">
        <f t="shared" si="1"/>
        <v>-0.09659713553329967</v>
      </c>
      <c r="I15" s="25">
        <f t="shared" si="2"/>
        <v>35.1661172932546</v>
      </c>
      <c r="J15" s="25">
        <f t="shared" si="3"/>
        <v>77.76799665625923</v>
      </c>
      <c r="K15" s="22">
        <v>14745434.31</v>
      </c>
      <c r="L15" s="22">
        <v>15802575.21</v>
      </c>
      <c r="M15" s="26">
        <f t="shared" si="4"/>
        <v>-0.06689674853317785</v>
      </c>
      <c r="N15" s="11"/>
      <c r="R15" s="2"/>
    </row>
    <row r="16" spans="1:18" ht="15.75">
      <c r="A16" s="20"/>
      <c r="B16" s="21">
        <f>DATE(2011,2,1)</f>
        <v>40575</v>
      </c>
      <c r="C16" s="22">
        <v>419072</v>
      </c>
      <c r="D16" s="23">
        <v>433065</v>
      </c>
      <c r="E16" s="24">
        <f t="shared" si="0"/>
        <v>-0.03231154676549709</v>
      </c>
      <c r="F16" s="22">
        <f>+C16-224242</f>
        <v>194830</v>
      </c>
      <c r="G16" s="22">
        <f>+D16-227607</f>
        <v>205458</v>
      </c>
      <c r="H16" s="24">
        <f t="shared" si="1"/>
        <v>-0.051728333771379066</v>
      </c>
      <c r="I16" s="25">
        <f t="shared" si="2"/>
        <v>38.04515243204032</v>
      </c>
      <c r="J16" s="25">
        <f t="shared" si="3"/>
        <v>81.8336915259457</v>
      </c>
      <c r="K16" s="22">
        <v>15943658.12</v>
      </c>
      <c r="L16" s="22">
        <v>16071265.94</v>
      </c>
      <c r="M16" s="26">
        <f t="shared" si="4"/>
        <v>-0.007940122481726557</v>
      </c>
      <c r="N16" s="11"/>
      <c r="R16" s="2"/>
    </row>
    <row r="17" spans="1:18" ht="15.75">
      <c r="A17" s="20"/>
      <c r="B17" s="21">
        <f>DATE(2011,3,1)</f>
        <v>40603</v>
      </c>
      <c r="C17" s="22">
        <v>469395</v>
      </c>
      <c r="D17" s="23">
        <v>458210</v>
      </c>
      <c r="E17" s="24">
        <f t="shared" si="0"/>
        <v>0.0244102049278715</v>
      </c>
      <c r="F17" s="22">
        <f>+C17-253889</f>
        <v>215506</v>
      </c>
      <c r="G17" s="22">
        <f>+D17-237724</f>
        <v>220486</v>
      </c>
      <c r="H17" s="24">
        <f t="shared" si="1"/>
        <v>-0.022586468075070525</v>
      </c>
      <c r="I17" s="25">
        <f t="shared" si="2"/>
        <v>37.64352964986845</v>
      </c>
      <c r="J17" s="25">
        <f t="shared" si="3"/>
        <v>81.99161322654591</v>
      </c>
      <c r="K17" s="22">
        <v>17669684.6</v>
      </c>
      <c r="L17" s="22">
        <v>16821182.97</v>
      </c>
      <c r="M17" s="26">
        <f t="shared" si="4"/>
        <v>0.05044244697375185</v>
      </c>
      <c r="N17" s="11"/>
      <c r="R17" s="2"/>
    </row>
    <row r="18" spans="1:18" ht="15.75">
      <c r="A18" s="20"/>
      <c r="B18" s="21">
        <f>DATE(2011,4,1)</f>
        <v>40634</v>
      </c>
      <c r="C18" s="22">
        <v>440864</v>
      </c>
      <c r="D18" s="23">
        <v>437227</v>
      </c>
      <c r="E18" s="24">
        <f t="shared" si="0"/>
        <v>0.008318333497245138</v>
      </c>
      <c r="F18" s="22">
        <f>+C18-235268</f>
        <v>205596</v>
      </c>
      <c r="G18" s="22">
        <f>+D18-224574</f>
        <v>212653</v>
      </c>
      <c r="H18" s="24">
        <f t="shared" si="1"/>
        <v>-0.03318551819160793</v>
      </c>
      <c r="I18" s="25">
        <f t="shared" si="2"/>
        <v>39.51051194926326</v>
      </c>
      <c r="J18" s="25">
        <f t="shared" si="3"/>
        <v>84.72325502441682</v>
      </c>
      <c r="K18" s="22">
        <v>17418762.34</v>
      </c>
      <c r="L18" s="22">
        <v>16621906.76</v>
      </c>
      <c r="M18" s="26">
        <f t="shared" si="4"/>
        <v>0.0479400824168743</v>
      </c>
      <c r="N18" s="11"/>
      <c r="R18" s="2"/>
    </row>
    <row r="19" spans="1:18" ht="16.5" thickBot="1">
      <c r="A19" s="20"/>
      <c r="B19" s="21"/>
      <c r="C19" s="22"/>
      <c r="D19" s="22"/>
      <c r="E19" s="24"/>
      <c r="F19" s="22"/>
      <c r="G19" s="22"/>
      <c r="H19" s="24"/>
      <c r="I19" s="25"/>
      <c r="J19" s="25"/>
      <c r="K19" s="22"/>
      <c r="L19" s="22"/>
      <c r="M19" s="26"/>
      <c r="N19" s="11"/>
      <c r="R19" s="2"/>
    </row>
    <row r="20" spans="1:18" ht="17.25" thickBot="1" thickTop="1">
      <c r="A20" s="27" t="s">
        <v>14</v>
      </c>
      <c r="B20" s="28"/>
      <c r="C20" s="29">
        <f>SUM(C9:C19)</f>
        <v>4430169</v>
      </c>
      <c r="D20" s="29">
        <f>SUM(D9:D19)</f>
        <v>4494958</v>
      </c>
      <c r="E20" s="30">
        <f>(+C20-D20)/D20</f>
        <v>-0.014413705311595793</v>
      </c>
      <c r="F20" s="29">
        <f>SUM(F9:F19)</f>
        <v>2091068</v>
      </c>
      <c r="G20" s="29">
        <f>SUM(G9:G19)</f>
        <v>2178324</v>
      </c>
      <c r="H20" s="31">
        <f>(+F20-G20)/G20</f>
        <v>-0.040056483792126424</v>
      </c>
      <c r="I20" s="32">
        <f>K20/C20</f>
        <v>36.34261379644885</v>
      </c>
      <c r="J20" s="32">
        <f>K20/F20</f>
        <v>76.99602357264327</v>
      </c>
      <c r="K20" s="29">
        <f>SUM(K9:K19)</f>
        <v>161003921.02</v>
      </c>
      <c r="L20" s="29">
        <f>SUM(L9:L19)</f>
        <v>162443819.51999998</v>
      </c>
      <c r="M20" s="33">
        <f>(+K20-L20)/L20</f>
        <v>-0.008863978354206888</v>
      </c>
      <c r="N20" s="11"/>
      <c r="R20" s="2"/>
    </row>
    <row r="21" spans="1:18" ht="16.5" thickTop="1">
      <c r="A21" s="16"/>
      <c r="B21" s="17"/>
      <c r="C21" s="17"/>
      <c r="D21" s="17"/>
      <c r="E21" s="18"/>
      <c r="F21" s="17"/>
      <c r="G21" s="17"/>
      <c r="H21" s="18"/>
      <c r="I21" s="17"/>
      <c r="J21" s="17"/>
      <c r="K21" s="218"/>
      <c r="L21" s="218"/>
      <c r="M21" s="19"/>
      <c r="N21" s="11"/>
      <c r="R21" s="2"/>
    </row>
    <row r="22" spans="1:18" ht="15.75">
      <c r="A22" s="20" t="s">
        <v>15</v>
      </c>
      <c r="B22" s="21">
        <f>DATE(2010,7,1)</f>
        <v>40360</v>
      </c>
      <c r="C22" s="22">
        <v>204695</v>
      </c>
      <c r="D22" s="22">
        <v>213579</v>
      </c>
      <c r="E22" s="24">
        <f aca="true" t="shared" si="5" ref="E22:E31">(+C22-D22)/D22</f>
        <v>-0.041595849779238595</v>
      </c>
      <c r="F22" s="22">
        <f>+C22-94751</f>
        <v>109944</v>
      </c>
      <c r="G22" s="22">
        <f>+D22-101873</f>
        <v>111706</v>
      </c>
      <c r="H22" s="24">
        <f aca="true" t="shared" si="6" ref="H22:H31">(+F22-G22)/G22</f>
        <v>-0.01577354842174995</v>
      </c>
      <c r="I22" s="25">
        <f aca="true" t="shared" si="7" ref="I22:I31">K22/C22</f>
        <v>37.07518547106671</v>
      </c>
      <c r="J22" s="25">
        <f aca="true" t="shared" si="8" ref="J22:J31">K22/F22</f>
        <v>69.02700547551481</v>
      </c>
      <c r="K22" s="22">
        <v>7589105.09</v>
      </c>
      <c r="L22" s="22">
        <v>7446334.08</v>
      </c>
      <c r="M22" s="26">
        <f aca="true" t="shared" si="9" ref="M22:M31">(+K22-L22)/L22</f>
        <v>0.01917332857566334</v>
      </c>
      <c r="N22" s="11"/>
      <c r="R22" s="2"/>
    </row>
    <row r="23" spans="1:18" ht="15.75">
      <c r="A23" s="20"/>
      <c r="B23" s="21">
        <f>DATE(2010,8,1)</f>
        <v>40391</v>
      </c>
      <c r="C23" s="22">
        <v>206163</v>
      </c>
      <c r="D23" s="22">
        <v>204806</v>
      </c>
      <c r="E23" s="24">
        <f t="shared" si="5"/>
        <v>0.00662578244777985</v>
      </c>
      <c r="F23" s="22">
        <f>+C23-95050</f>
        <v>111113</v>
      </c>
      <c r="G23" s="22">
        <f>+D23-95827</f>
        <v>108979</v>
      </c>
      <c r="H23" s="24">
        <f t="shared" si="6"/>
        <v>0.019581754282935245</v>
      </c>
      <c r="I23" s="25">
        <f t="shared" si="7"/>
        <v>33.366958523110355</v>
      </c>
      <c r="J23" s="25">
        <f t="shared" si="8"/>
        <v>61.91023795595474</v>
      </c>
      <c r="K23" s="22">
        <v>6879032.27</v>
      </c>
      <c r="L23" s="22">
        <v>6955062.59</v>
      </c>
      <c r="M23" s="26">
        <f t="shared" si="9"/>
        <v>-0.010931651443269082</v>
      </c>
      <c r="N23" s="11"/>
      <c r="R23" s="2"/>
    </row>
    <row r="24" spans="1:18" ht="15.75">
      <c r="A24" s="20"/>
      <c r="B24" s="21">
        <f>DATE(2010,9,1)</f>
        <v>40422</v>
      </c>
      <c r="C24" s="22">
        <v>191650</v>
      </c>
      <c r="D24" s="22">
        <v>199344</v>
      </c>
      <c r="E24" s="24">
        <f t="shared" si="5"/>
        <v>-0.038596596837627416</v>
      </c>
      <c r="F24" s="22">
        <f>+C24-88765</f>
        <v>102885</v>
      </c>
      <c r="G24" s="22">
        <f>+D24-92810</f>
        <v>106534</v>
      </c>
      <c r="H24" s="24">
        <f t="shared" si="6"/>
        <v>-0.03425197589501943</v>
      </c>
      <c r="I24" s="25">
        <f t="shared" si="7"/>
        <v>35.752574536916256</v>
      </c>
      <c r="J24" s="25">
        <f t="shared" si="8"/>
        <v>66.59844399086359</v>
      </c>
      <c r="K24" s="22">
        <v>6851980.91</v>
      </c>
      <c r="L24" s="22">
        <v>6631778.34</v>
      </c>
      <c r="M24" s="26">
        <f t="shared" si="9"/>
        <v>0.0332041510904902</v>
      </c>
      <c r="N24" s="11"/>
      <c r="R24" s="2"/>
    </row>
    <row r="25" spans="1:18" ht="15.75">
      <c r="A25" s="20"/>
      <c r="B25" s="21">
        <f>DATE(2010,10,1)</f>
        <v>40452</v>
      </c>
      <c r="C25" s="22">
        <v>196993</v>
      </c>
      <c r="D25" s="22">
        <v>199437</v>
      </c>
      <c r="E25" s="24">
        <f t="shared" si="5"/>
        <v>-0.012254496407386795</v>
      </c>
      <c r="F25" s="22">
        <f>+C25-91377</f>
        <v>105616</v>
      </c>
      <c r="G25" s="22">
        <f>+D25-93916</f>
        <v>105521</v>
      </c>
      <c r="H25" s="24">
        <f t="shared" si="6"/>
        <v>0.0009002947280636082</v>
      </c>
      <c r="I25" s="25">
        <f t="shared" si="7"/>
        <v>37.21041696913088</v>
      </c>
      <c r="J25" s="25">
        <f t="shared" si="8"/>
        <v>69.4041780601424</v>
      </c>
      <c r="K25" s="22">
        <v>7330191.67</v>
      </c>
      <c r="L25" s="22">
        <v>7217579.23</v>
      </c>
      <c r="M25" s="26">
        <f t="shared" si="9"/>
        <v>0.015602522176954263</v>
      </c>
      <c r="N25" s="11"/>
      <c r="R25" s="2"/>
    </row>
    <row r="26" spans="1:18" ht="15.75">
      <c r="A26" s="20"/>
      <c r="B26" s="21">
        <f>DATE(2010,11,1)</f>
        <v>40483</v>
      </c>
      <c r="C26" s="22">
        <v>176985</v>
      </c>
      <c r="D26" s="22">
        <v>177701</v>
      </c>
      <c r="E26" s="24">
        <f t="shared" si="5"/>
        <v>-0.0040292401280803145</v>
      </c>
      <c r="F26" s="22">
        <f>+C26-82565</f>
        <v>94420</v>
      </c>
      <c r="G26" s="22">
        <f>+D26-83523</f>
        <v>94178</v>
      </c>
      <c r="H26" s="24">
        <f t="shared" si="6"/>
        <v>0.0025696022425619573</v>
      </c>
      <c r="I26" s="25">
        <f t="shared" si="7"/>
        <v>37.223681498432065</v>
      </c>
      <c r="J26" s="25">
        <f t="shared" si="8"/>
        <v>69.77370546494386</v>
      </c>
      <c r="K26" s="22">
        <v>6588033.27</v>
      </c>
      <c r="L26" s="22">
        <v>6386562.83</v>
      </c>
      <c r="M26" s="26">
        <f t="shared" si="9"/>
        <v>0.0315459888774005</v>
      </c>
      <c r="N26" s="11"/>
      <c r="R26" s="2"/>
    </row>
    <row r="27" spans="1:18" ht="15.75">
      <c r="A27" s="20"/>
      <c r="B27" s="21">
        <f>DATE(2010,12,1)</f>
        <v>40513</v>
      </c>
      <c r="C27" s="22">
        <v>163344</v>
      </c>
      <c r="D27" s="22">
        <v>158767</v>
      </c>
      <c r="E27" s="24">
        <f t="shared" si="5"/>
        <v>0.02882840892628821</v>
      </c>
      <c r="F27" s="22">
        <f>+C27-79994</f>
        <v>83350</v>
      </c>
      <c r="G27" s="22">
        <f>+D27-76508</f>
        <v>82259</v>
      </c>
      <c r="H27" s="24">
        <f t="shared" si="6"/>
        <v>0.013262986420938743</v>
      </c>
      <c r="I27" s="25">
        <f t="shared" si="7"/>
        <v>37.64701176657851</v>
      </c>
      <c r="J27" s="25">
        <f t="shared" si="8"/>
        <v>73.77820623875225</v>
      </c>
      <c r="K27" s="22">
        <v>6149413.49</v>
      </c>
      <c r="L27" s="22">
        <v>5728162.17</v>
      </c>
      <c r="M27" s="26">
        <f t="shared" si="9"/>
        <v>0.07354039698914465</v>
      </c>
      <c r="N27" s="11"/>
      <c r="R27" s="2"/>
    </row>
    <row r="28" spans="1:18" ht="15.75">
      <c r="A28" s="20"/>
      <c r="B28" s="21">
        <f>DATE(2011,1,1)</f>
        <v>40544</v>
      </c>
      <c r="C28" s="22">
        <v>163048</v>
      </c>
      <c r="D28" s="22">
        <v>183694</v>
      </c>
      <c r="E28" s="24">
        <f t="shared" si="5"/>
        <v>-0.11239343691138524</v>
      </c>
      <c r="F28" s="22">
        <f>+C28-79699</f>
        <v>83349</v>
      </c>
      <c r="G28" s="22">
        <f>+D28-87136</f>
        <v>96558</v>
      </c>
      <c r="H28" s="24">
        <f t="shared" si="6"/>
        <v>-0.13679860809047412</v>
      </c>
      <c r="I28" s="25">
        <f t="shared" si="7"/>
        <v>37.32598480202149</v>
      </c>
      <c r="J28" s="25">
        <f t="shared" si="8"/>
        <v>73.01739876903142</v>
      </c>
      <c r="K28" s="22">
        <v>6085927.17</v>
      </c>
      <c r="L28" s="22">
        <v>6104193.46</v>
      </c>
      <c r="M28" s="26">
        <f t="shared" si="9"/>
        <v>-0.0029924166263236417</v>
      </c>
      <c r="N28" s="11"/>
      <c r="R28" s="2"/>
    </row>
    <row r="29" spans="1:18" ht="15.75">
      <c r="A29" s="20"/>
      <c r="B29" s="21">
        <f>DATE(2011,2,1)</f>
        <v>40575</v>
      </c>
      <c r="C29" s="22">
        <v>180103</v>
      </c>
      <c r="D29" s="22">
        <v>189838</v>
      </c>
      <c r="E29" s="24">
        <f t="shared" si="5"/>
        <v>-0.05128056553482443</v>
      </c>
      <c r="F29" s="22">
        <f>+C29-89689</f>
        <v>90414</v>
      </c>
      <c r="G29" s="22">
        <f>+D29-90293</f>
        <v>99545</v>
      </c>
      <c r="H29" s="24">
        <f t="shared" si="6"/>
        <v>-0.09172735948565976</v>
      </c>
      <c r="I29" s="25">
        <f t="shared" si="7"/>
        <v>36.84978390143418</v>
      </c>
      <c r="J29" s="25">
        <f t="shared" si="8"/>
        <v>73.40408155816577</v>
      </c>
      <c r="K29" s="22">
        <v>6636756.63</v>
      </c>
      <c r="L29" s="22">
        <v>6706705.02</v>
      </c>
      <c r="M29" s="26">
        <f t="shared" si="9"/>
        <v>-0.010429620773749143</v>
      </c>
      <c r="N29" s="11"/>
      <c r="R29" s="2"/>
    </row>
    <row r="30" spans="1:18" ht="15.75">
      <c r="A30" s="20"/>
      <c r="B30" s="21">
        <f>DATE(2011,3,1)</f>
        <v>40603</v>
      </c>
      <c r="C30" s="22">
        <v>197019</v>
      </c>
      <c r="D30" s="22">
        <v>202014</v>
      </c>
      <c r="E30" s="24">
        <f t="shared" si="5"/>
        <v>-0.024726009088479016</v>
      </c>
      <c r="F30" s="22">
        <f>+C30-97561</f>
        <v>99458</v>
      </c>
      <c r="G30" s="22">
        <f>+D30-94817</f>
        <v>107197</v>
      </c>
      <c r="H30" s="24">
        <f t="shared" si="6"/>
        <v>-0.07219418453874642</v>
      </c>
      <c r="I30" s="25">
        <f t="shared" si="7"/>
        <v>37.15832148168451</v>
      </c>
      <c r="J30" s="25">
        <f t="shared" si="8"/>
        <v>73.60790826278429</v>
      </c>
      <c r="K30" s="22">
        <v>7320895.34</v>
      </c>
      <c r="L30" s="22">
        <v>7000044.07</v>
      </c>
      <c r="M30" s="26">
        <f t="shared" si="9"/>
        <v>0.04583560714639894</v>
      </c>
      <c r="N30" s="11"/>
      <c r="R30" s="2"/>
    </row>
    <row r="31" spans="1:18" ht="15.75">
      <c r="A31" s="20"/>
      <c r="B31" s="21">
        <f>DATE(2011,4,1)</f>
        <v>40634</v>
      </c>
      <c r="C31" s="22">
        <v>186976</v>
      </c>
      <c r="D31" s="22">
        <v>179596</v>
      </c>
      <c r="E31" s="24">
        <f t="shared" si="5"/>
        <v>0.041092229225595224</v>
      </c>
      <c r="F31" s="22">
        <f>+C31-92947</f>
        <v>94029</v>
      </c>
      <c r="G31" s="22">
        <f>+D31-85295</f>
        <v>94301</v>
      </c>
      <c r="H31" s="24">
        <f t="shared" si="6"/>
        <v>-0.0028843808655263465</v>
      </c>
      <c r="I31" s="25">
        <f t="shared" si="7"/>
        <v>37.88722488447715</v>
      </c>
      <c r="J31" s="25">
        <f t="shared" si="8"/>
        <v>75.33847812908783</v>
      </c>
      <c r="K31" s="22">
        <v>7084001.76</v>
      </c>
      <c r="L31" s="22">
        <v>6688645.2</v>
      </c>
      <c r="M31" s="26">
        <f t="shared" si="9"/>
        <v>0.05910861589728209</v>
      </c>
      <c r="N31" s="11"/>
      <c r="R31" s="2"/>
    </row>
    <row r="32" spans="1:18" ht="15.75" customHeight="1" thickBot="1">
      <c r="A32" s="20"/>
      <c r="B32" s="21"/>
      <c r="C32" s="22"/>
      <c r="D32" s="22"/>
      <c r="E32" s="24"/>
      <c r="F32" s="22"/>
      <c r="G32" s="22"/>
      <c r="H32" s="24"/>
      <c r="I32" s="25"/>
      <c r="J32" s="25"/>
      <c r="K32" s="22"/>
      <c r="L32" s="22"/>
      <c r="M32" s="26"/>
      <c r="N32" s="11"/>
      <c r="R32" s="2"/>
    </row>
    <row r="33" spans="1:18" ht="15.75" customHeight="1" thickBot="1" thickTop="1">
      <c r="A33" s="27" t="s">
        <v>14</v>
      </c>
      <c r="B33" s="28"/>
      <c r="C33" s="29">
        <f>SUM(C22:C32)</f>
        <v>1866976</v>
      </c>
      <c r="D33" s="29">
        <f>SUM(D22:D32)</f>
        <v>1908776</v>
      </c>
      <c r="E33" s="30">
        <f>(+C33-D33)/D33</f>
        <v>-0.02189885036274555</v>
      </c>
      <c r="F33" s="29">
        <f>SUM(F22:F32)</f>
        <v>974578</v>
      </c>
      <c r="G33" s="29">
        <f>SUM(G22:G32)</f>
        <v>1006778</v>
      </c>
      <c r="H33" s="31">
        <f>(+F33-G33)/G33</f>
        <v>-0.03198321775008989</v>
      </c>
      <c r="I33" s="32">
        <f>K33/C33</f>
        <v>36.6985636665924</v>
      </c>
      <c r="J33" s="32">
        <f>K33/F33</f>
        <v>70.30256952239843</v>
      </c>
      <c r="K33" s="29">
        <f>SUM(K22:K32)</f>
        <v>68515337.60000001</v>
      </c>
      <c r="L33" s="29">
        <f>SUM(L22:L32)</f>
        <v>66865066.99</v>
      </c>
      <c r="M33" s="33">
        <f>(+K33-L33)/L33</f>
        <v>0.02468060953631906</v>
      </c>
      <c r="N33" s="11"/>
      <c r="R33" s="2"/>
    </row>
    <row r="34" spans="1:18" ht="15.75" customHeight="1" thickTop="1">
      <c r="A34" s="34"/>
      <c r="B34" s="35"/>
      <c r="C34" s="36"/>
      <c r="D34" s="36"/>
      <c r="E34" s="30"/>
      <c r="F34" s="36"/>
      <c r="G34" s="36"/>
      <c r="H34" s="30"/>
      <c r="I34" s="37"/>
      <c r="J34" s="37"/>
      <c r="K34" s="36"/>
      <c r="L34" s="36"/>
      <c r="M34" s="38"/>
      <c r="N34" s="11"/>
      <c r="R34" s="2"/>
    </row>
    <row r="35" spans="1:18" ht="15.75" customHeight="1">
      <c r="A35" s="20" t="s">
        <v>60</v>
      </c>
      <c r="B35" s="21">
        <f>DATE(2010,7,1)</f>
        <v>40360</v>
      </c>
      <c r="C35" s="22">
        <v>96940</v>
      </c>
      <c r="D35" s="22">
        <v>91778</v>
      </c>
      <c r="E35" s="24">
        <f aca="true" t="shared" si="10" ref="E35:E44">(+C35-D35)/D35</f>
        <v>0.056244415873085055</v>
      </c>
      <c r="F35" s="22">
        <f>+C35-53664</f>
        <v>43276</v>
      </c>
      <c r="G35" s="22">
        <f>+D35-52368</f>
        <v>39410</v>
      </c>
      <c r="H35" s="24">
        <f aca="true" t="shared" si="11" ref="H35:H44">(+F35-G35)/G35</f>
        <v>0.09809692971327075</v>
      </c>
      <c r="I35" s="25">
        <f aca="true" t="shared" si="12" ref="I35:I44">K35/C35</f>
        <v>32.913062616051164</v>
      </c>
      <c r="J35" s="25">
        <f aca="true" t="shared" si="13" ref="J35:J44">K35/F35</f>
        <v>73.7265988076532</v>
      </c>
      <c r="K35" s="22">
        <v>3190592.29</v>
      </c>
      <c r="L35" s="22">
        <v>2961794.25</v>
      </c>
      <c r="M35" s="26">
        <f aca="true" t="shared" si="14" ref="M35:M44">(+K35-L35)/L35</f>
        <v>0.07724980896292848</v>
      </c>
      <c r="N35" s="11"/>
      <c r="R35" s="2"/>
    </row>
    <row r="36" spans="1:18" ht="15.75" customHeight="1">
      <c r="A36" s="20"/>
      <c r="B36" s="21">
        <f>DATE(2010,8,1)</f>
        <v>40391</v>
      </c>
      <c r="C36" s="22">
        <v>82482</v>
      </c>
      <c r="D36" s="22">
        <v>85569</v>
      </c>
      <c r="E36" s="24">
        <f t="shared" si="10"/>
        <v>-0.03607614907267819</v>
      </c>
      <c r="F36" s="22">
        <f>+C36-45949</f>
        <v>36533</v>
      </c>
      <c r="G36" s="22">
        <f>+D36-48582</f>
        <v>36987</v>
      </c>
      <c r="H36" s="24">
        <f t="shared" si="11"/>
        <v>-0.012274582961581097</v>
      </c>
      <c r="I36" s="25">
        <f t="shared" si="12"/>
        <v>34.30396328896001</v>
      </c>
      <c r="J36" s="25">
        <f t="shared" si="13"/>
        <v>77.44941559685763</v>
      </c>
      <c r="K36" s="22">
        <v>2829459.5</v>
      </c>
      <c r="L36" s="22">
        <v>2764259.09</v>
      </c>
      <c r="M36" s="26">
        <f t="shared" si="14"/>
        <v>0.02358693880608715</v>
      </c>
      <c r="N36" s="11"/>
      <c r="R36" s="2"/>
    </row>
    <row r="37" spans="1:18" ht="15.75" customHeight="1">
      <c r="A37" s="20"/>
      <c r="B37" s="21">
        <f>DATE(2010,9,1)</f>
        <v>40422</v>
      </c>
      <c r="C37" s="22">
        <v>86060</v>
      </c>
      <c r="D37" s="22">
        <v>82213</v>
      </c>
      <c r="E37" s="24">
        <f t="shared" si="10"/>
        <v>0.04679308625156606</v>
      </c>
      <c r="F37" s="22">
        <f>+C37-47962</f>
        <v>38098</v>
      </c>
      <c r="G37" s="22">
        <f>+D37-46276</f>
        <v>35937</v>
      </c>
      <c r="H37" s="24">
        <f t="shared" si="11"/>
        <v>0.060133010546233684</v>
      </c>
      <c r="I37" s="25">
        <f t="shared" si="12"/>
        <v>33.20861224726934</v>
      </c>
      <c r="J37" s="25">
        <f t="shared" si="13"/>
        <v>75.01530710273505</v>
      </c>
      <c r="K37" s="22">
        <v>2857933.17</v>
      </c>
      <c r="L37" s="22">
        <v>2677571.28</v>
      </c>
      <c r="M37" s="26">
        <f t="shared" si="14"/>
        <v>0.06736025716559081</v>
      </c>
      <c r="N37" s="11"/>
      <c r="R37" s="2"/>
    </row>
    <row r="38" spans="1:18" ht="15.75" customHeight="1">
      <c r="A38" s="20"/>
      <c r="B38" s="21">
        <f>DATE(2010,10,1)</f>
        <v>40452</v>
      </c>
      <c r="C38" s="22">
        <v>82872</v>
      </c>
      <c r="D38" s="22">
        <v>80005</v>
      </c>
      <c r="E38" s="24">
        <f t="shared" si="10"/>
        <v>0.035835260296231485</v>
      </c>
      <c r="F38" s="22">
        <f>+C38-45755</f>
        <v>37117</v>
      </c>
      <c r="G38" s="22">
        <f>+D38-45587</f>
        <v>34418</v>
      </c>
      <c r="H38" s="24">
        <f t="shared" si="11"/>
        <v>0.07841826951014004</v>
      </c>
      <c r="I38" s="25">
        <f t="shared" si="12"/>
        <v>34.98301151172893</v>
      </c>
      <c r="J38" s="25">
        <f t="shared" si="13"/>
        <v>78.10739364711587</v>
      </c>
      <c r="K38" s="22">
        <v>2899112.13</v>
      </c>
      <c r="L38" s="22">
        <v>2739358.75</v>
      </c>
      <c r="M38" s="26">
        <f t="shared" si="14"/>
        <v>0.058317801565786115</v>
      </c>
      <c r="N38" s="11"/>
      <c r="R38" s="2"/>
    </row>
    <row r="39" spans="1:18" ht="15.75" customHeight="1">
      <c r="A39" s="20"/>
      <c r="B39" s="21">
        <f>DATE(2010,11,1)</f>
        <v>40483</v>
      </c>
      <c r="C39" s="22">
        <v>70751</v>
      </c>
      <c r="D39" s="22">
        <v>72485</v>
      </c>
      <c r="E39" s="24">
        <f t="shared" si="10"/>
        <v>-0.023922190798096158</v>
      </c>
      <c r="F39" s="22">
        <f>+C39-40217</f>
        <v>30534</v>
      </c>
      <c r="G39" s="22">
        <f>+D39-41629</f>
        <v>30856</v>
      </c>
      <c r="H39" s="24">
        <f t="shared" si="11"/>
        <v>-0.010435571687840291</v>
      </c>
      <c r="I39" s="25">
        <f t="shared" si="12"/>
        <v>36.88337648937824</v>
      </c>
      <c r="J39" s="25">
        <f t="shared" si="13"/>
        <v>85.46327929521189</v>
      </c>
      <c r="K39" s="22">
        <v>2609535.77</v>
      </c>
      <c r="L39" s="22">
        <v>2594224.55</v>
      </c>
      <c r="M39" s="26">
        <f t="shared" si="14"/>
        <v>0.005902041132098686</v>
      </c>
      <c r="N39" s="11"/>
      <c r="R39" s="2"/>
    </row>
    <row r="40" spans="1:18" ht="15.75" customHeight="1">
      <c r="A40" s="20"/>
      <c r="B40" s="21">
        <f>DATE(2010,12,1)</f>
        <v>40513</v>
      </c>
      <c r="C40" s="22">
        <v>72414</v>
      </c>
      <c r="D40" s="22">
        <v>75579</v>
      </c>
      <c r="E40" s="24">
        <f t="shared" si="10"/>
        <v>-0.04187671178501965</v>
      </c>
      <c r="F40" s="22">
        <f>+C40-40889</f>
        <v>31525</v>
      </c>
      <c r="G40" s="22">
        <f>+D40-43261</f>
        <v>32318</v>
      </c>
      <c r="H40" s="24">
        <f t="shared" si="11"/>
        <v>-0.024537409493161706</v>
      </c>
      <c r="I40" s="25">
        <f t="shared" si="12"/>
        <v>36.601442538735604</v>
      </c>
      <c r="J40" s="25">
        <f t="shared" si="13"/>
        <v>84.07476161776367</v>
      </c>
      <c r="K40" s="22">
        <v>2650456.86</v>
      </c>
      <c r="L40" s="22">
        <v>2469835.75</v>
      </c>
      <c r="M40" s="26">
        <f t="shared" si="14"/>
        <v>0.07313081851698028</v>
      </c>
      <c r="N40" s="11"/>
      <c r="R40" s="2"/>
    </row>
    <row r="41" spans="1:18" ht="15.75" customHeight="1">
      <c r="A41" s="20"/>
      <c r="B41" s="21">
        <f>DATE(2011,1,1)</f>
        <v>40544</v>
      </c>
      <c r="C41" s="22">
        <v>74605</v>
      </c>
      <c r="D41" s="22">
        <v>71014</v>
      </c>
      <c r="E41" s="24">
        <f t="shared" si="10"/>
        <v>0.05056749373362999</v>
      </c>
      <c r="F41" s="22">
        <f>+C41-42641</f>
        <v>31964</v>
      </c>
      <c r="G41" s="22">
        <f>+D41-41202</f>
        <v>29812</v>
      </c>
      <c r="H41" s="24">
        <f t="shared" si="11"/>
        <v>0.07218569703475111</v>
      </c>
      <c r="I41" s="25">
        <f t="shared" si="12"/>
        <v>34.818598351316936</v>
      </c>
      <c r="J41" s="25">
        <f t="shared" si="13"/>
        <v>81.26772400200224</v>
      </c>
      <c r="K41" s="22">
        <v>2597641.53</v>
      </c>
      <c r="L41" s="22">
        <v>2437989.3</v>
      </c>
      <c r="M41" s="26">
        <f t="shared" si="14"/>
        <v>0.0654852053698513</v>
      </c>
      <c r="N41" s="11"/>
      <c r="R41" s="2"/>
    </row>
    <row r="42" spans="1:18" ht="15.75" customHeight="1">
      <c r="A42" s="20"/>
      <c r="B42" s="21">
        <f>DATE(2011,2,1)</f>
        <v>40575</v>
      </c>
      <c r="C42" s="22">
        <v>84173</v>
      </c>
      <c r="D42" s="22">
        <v>87817</v>
      </c>
      <c r="E42" s="24">
        <f t="shared" si="10"/>
        <v>-0.041495382443034946</v>
      </c>
      <c r="F42" s="22">
        <f>+C42-49183</f>
        <v>34990</v>
      </c>
      <c r="G42" s="22">
        <f>+D42-51623</f>
        <v>36194</v>
      </c>
      <c r="H42" s="24">
        <f t="shared" si="11"/>
        <v>-0.03326518207437697</v>
      </c>
      <c r="I42" s="25">
        <f t="shared" si="12"/>
        <v>37.4933673505756</v>
      </c>
      <c r="J42" s="25">
        <f t="shared" si="13"/>
        <v>90.19517605030009</v>
      </c>
      <c r="K42" s="22">
        <v>3155929.21</v>
      </c>
      <c r="L42" s="22">
        <v>3206340.19</v>
      </c>
      <c r="M42" s="26">
        <f t="shared" si="14"/>
        <v>-0.01572228054815356</v>
      </c>
      <c r="N42" s="11"/>
      <c r="R42" s="2"/>
    </row>
    <row r="43" spans="1:18" ht="15.75" customHeight="1">
      <c r="A43" s="20"/>
      <c r="B43" s="21">
        <f>DATE(2011,3,1)</f>
        <v>40603</v>
      </c>
      <c r="C43" s="22">
        <v>86598</v>
      </c>
      <c r="D43" s="22">
        <v>88224</v>
      </c>
      <c r="E43" s="24">
        <f t="shared" si="10"/>
        <v>-0.018430359085963004</v>
      </c>
      <c r="F43" s="22">
        <f>+C43-49101</f>
        <v>37497</v>
      </c>
      <c r="G43" s="22">
        <f>+D43-51239</f>
        <v>36985</v>
      </c>
      <c r="H43" s="24">
        <f t="shared" si="11"/>
        <v>0.013843450047316479</v>
      </c>
      <c r="I43" s="25">
        <f t="shared" si="12"/>
        <v>37.12948924917434</v>
      </c>
      <c r="J43" s="25">
        <f t="shared" si="13"/>
        <v>85.74924687308318</v>
      </c>
      <c r="K43" s="22">
        <v>3215339.51</v>
      </c>
      <c r="L43" s="22">
        <v>3028178.76</v>
      </c>
      <c r="M43" s="26">
        <f t="shared" si="14"/>
        <v>0.06180637433702891</v>
      </c>
      <c r="N43" s="11"/>
      <c r="R43" s="2"/>
    </row>
    <row r="44" spans="1:18" ht="15.75" customHeight="1">
      <c r="A44" s="20"/>
      <c r="B44" s="21">
        <f>DATE(2011,4,1)</f>
        <v>40634</v>
      </c>
      <c r="C44" s="22">
        <v>75015</v>
      </c>
      <c r="D44" s="22">
        <v>80045</v>
      </c>
      <c r="E44" s="24">
        <f t="shared" si="10"/>
        <v>-0.06283965269535886</v>
      </c>
      <c r="F44" s="22">
        <f>+C44-42281</f>
        <v>32734</v>
      </c>
      <c r="G44" s="22">
        <f>+D44-44346</f>
        <v>35699</v>
      </c>
      <c r="H44" s="24">
        <f t="shared" si="11"/>
        <v>-0.08305554777444746</v>
      </c>
      <c r="I44" s="25">
        <f t="shared" si="12"/>
        <v>37.5517491168433</v>
      </c>
      <c r="J44" s="25">
        <f t="shared" si="13"/>
        <v>86.05561373495448</v>
      </c>
      <c r="K44" s="22">
        <v>2816944.46</v>
      </c>
      <c r="L44" s="22">
        <v>2720059.58</v>
      </c>
      <c r="M44" s="26">
        <f t="shared" si="14"/>
        <v>0.03561866097065414</v>
      </c>
      <c r="N44" s="11"/>
      <c r="R44" s="2"/>
    </row>
    <row r="45" spans="1:18" ht="15.75" customHeight="1" thickBot="1">
      <c r="A45" s="39"/>
      <c r="B45" s="21"/>
      <c r="C45" s="22"/>
      <c r="D45" s="22"/>
      <c r="E45" s="24"/>
      <c r="F45" s="22"/>
      <c r="G45" s="22"/>
      <c r="H45" s="24"/>
      <c r="I45" s="25"/>
      <c r="J45" s="25"/>
      <c r="K45" s="22"/>
      <c r="L45" s="22"/>
      <c r="M45" s="26"/>
      <c r="N45" s="11"/>
      <c r="R45" s="2"/>
    </row>
    <row r="46" spans="1:18" ht="15.75" customHeight="1" thickBot="1" thickTop="1">
      <c r="A46" s="40" t="s">
        <v>14</v>
      </c>
      <c r="B46" s="41"/>
      <c r="C46" s="42">
        <f>SUM(C35:C45)</f>
        <v>811910</v>
      </c>
      <c r="D46" s="42">
        <f>SUM(D35:D45)</f>
        <v>814729</v>
      </c>
      <c r="E46" s="43">
        <f>(+C46-D46)/D46</f>
        <v>-0.0034600462239591325</v>
      </c>
      <c r="F46" s="42">
        <f>SUM(F35:F45)</f>
        <v>354268</v>
      </c>
      <c r="G46" s="42">
        <f>SUM(G35:G45)</f>
        <v>348616</v>
      </c>
      <c r="H46" s="44">
        <f>(+F46-G46)/G46</f>
        <v>0.016212681001445718</v>
      </c>
      <c r="I46" s="45">
        <f>K46/C46</f>
        <v>35.50017173085687</v>
      </c>
      <c r="J46" s="45">
        <f>K46/F46</f>
        <v>81.35915304232954</v>
      </c>
      <c r="K46" s="42">
        <f>SUM(K35:K45)</f>
        <v>28822944.43</v>
      </c>
      <c r="L46" s="42">
        <f>SUM(L35:L45)</f>
        <v>27599611.5</v>
      </c>
      <c r="M46" s="46">
        <f>(+K46-L46)/L46</f>
        <v>0.04432428079648874</v>
      </c>
      <c r="N46" s="11"/>
      <c r="R46" s="2"/>
    </row>
    <row r="47" spans="1:18" ht="15.75" customHeight="1" thickTop="1">
      <c r="A47" s="47"/>
      <c r="B47" s="48"/>
      <c r="C47" s="49"/>
      <c r="D47" s="49"/>
      <c r="E47" s="50"/>
      <c r="F47" s="49"/>
      <c r="G47" s="49"/>
      <c r="H47" s="50"/>
      <c r="I47" s="51"/>
      <c r="J47" s="51"/>
      <c r="K47" s="49"/>
      <c r="L47" s="49"/>
      <c r="M47" s="26"/>
      <c r="N47" s="11"/>
      <c r="R47" s="2"/>
    </row>
    <row r="48" spans="1:18" ht="15.75" customHeight="1">
      <c r="A48" s="20" t="s">
        <v>16</v>
      </c>
      <c r="B48" s="21">
        <f>DATE(2010,7,1)</f>
        <v>40360</v>
      </c>
      <c r="C48" s="22">
        <v>683669</v>
      </c>
      <c r="D48" s="22">
        <v>693875</v>
      </c>
      <c r="E48" s="24">
        <f aca="true" t="shared" si="15" ref="E48:E57">(+C48-D48)/D48</f>
        <v>-0.014708701134930642</v>
      </c>
      <c r="F48" s="22">
        <f>+C48-354657</f>
        <v>329012</v>
      </c>
      <c r="G48" s="22">
        <f>+D48-363069</f>
        <v>330806</v>
      </c>
      <c r="H48" s="24">
        <f aca="true" t="shared" si="16" ref="H48:H57">(+F48-G48)/G48</f>
        <v>-0.0054231180812923585</v>
      </c>
      <c r="I48" s="25">
        <f aca="true" t="shared" si="17" ref="I48:I57">K48/C48</f>
        <v>36.918403979118544</v>
      </c>
      <c r="J48" s="25">
        <f aca="true" t="shared" si="18" ref="J48:J57">K48/F48</f>
        <v>76.7144308718223</v>
      </c>
      <c r="K48" s="22">
        <v>25239968.33</v>
      </c>
      <c r="L48" s="22">
        <v>26709255.91</v>
      </c>
      <c r="M48" s="26">
        <f aca="true" t="shared" si="19" ref="M48:M57">(+K48-L48)/L48</f>
        <v>-0.05501042728224779</v>
      </c>
      <c r="N48" s="11"/>
      <c r="R48" s="2"/>
    </row>
    <row r="49" spans="1:18" ht="15.75" customHeight="1">
      <c r="A49" s="20"/>
      <c r="B49" s="21">
        <f>DATE(2010,8,1)</f>
        <v>40391</v>
      </c>
      <c r="C49" s="22">
        <v>612793</v>
      </c>
      <c r="D49" s="22">
        <v>723949</v>
      </c>
      <c r="E49" s="24">
        <f t="shared" si="15"/>
        <v>-0.15354120248802056</v>
      </c>
      <c r="F49" s="22">
        <f>+C49-319692</f>
        <v>293101</v>
      </c>
      <c r="G49" s="22">
        <f>+D49-373803</f>
        <v>350146</v>
      </c>
      <c r="H49" s="24">
        <f t="shared" si="16"/>
        <v>-0.16291775430820285</v>
      </c>
      <c r="I49" s="25">
        <f t="shared" si="17"/>
        <v>36.79369638687126</v>
      </c>
      <c r="J49" s="25">
        <f t="shared" si="18"/>
        <v>76.92542703709643</v>
      </c>
      <c r="K49" s="22">
        <v>22546919.59</v>
      </c>
      <c r="L49" s="22">
        <v>27056059.16</v>
      </c>
      <c r="M49" s="26">
        <f t="shared" si="19"/>
        <v>-0.1666591406876566</v>
      </c>
      <c r="N49" s="11"/>
      <c r="R49" s="2"/>
    </row>
    <row r="50" spans="1:18" ht="15.75" customHeight="1">
      <c r="A50" s="20"/>
      <c r="B50" s="21">
        <f>DATE(2010,9,1)</f>
        <v>40422</v>
      </c>
      <c r="C50" s="22">
        <v>587353</v>
      </c>
      <c r="D50" s="22">
        <v>668800</v>
      </c>
      <c r="E50" s="24">
        <f t="shared" si="15"/>
        <v>-0.1217808014354067</v>
      </c>
      <c r="F50" s="22">
        <f>+C50-306675</f>
        <v>280678</v>
      </c>
      <c r="G50" s="22">
        <f>+D50-349464</f>
        <v>319336</v>
      </c>
      <c r="H50" s="24">
        <f t="shared" si="16"/>
        <v>-0.12105744419670816</v>
      </c>
      <c r="I50" s="25">
        <f t="shared" si="17"/>
        <v>38.25957288036326</v>
      </c>
      <c r="J50" s="25">
        <f t="shared" si="18"/>
        <v>80.062829683837</v>
      </c>
      <c r="K50" s="22">
        <v>22471874.91</v>
      </c>
      <c r="L50" s="22">
        <v>25236281.68</v>
      </c>
      <c r="M50" s="26">
        <f t="shared" si="19"/>
        <v>-0.1095409698248383</v>
      </c>
      <c r="N50" s="11"/>
      <c r="R50" s="2"/>
    </row>
    <row r="51" spans="1:18" ht="15.75" customHeight="1">
      <c r="A51" s="20"/>
      <c r="B51" s="21">
        <f>DATE(2010,10,1)</f>
        <v>40452</v>
      </c>
      <c r="C51" s="22">
        <v>586796</v>
      </c>
      <c r="D51" s="22">
        <v>676707</v>
      </c>
      <c r="E51" s="24">
        <f t="shared" si="15"/>
        <v>-0.13286547944679158</v>
      </c>
      <c r="F51" s="22">
        <f>+C51-306236</f>
        <v>280560</v>
      </c>
      <c r="G51" s="22">
        <f>+D51-363961</f>
        <v>312746</v>
      </c>
      <c r="H51" s="24">
        <f t="shared" si="16"/>
        <v>-0.10291418595281794</v>
      </c>
      <c r="I51" s="25">
        <f t="shared" si="17"/>
        <v>38.51245676521312</v>
      </c>
      <c r="J51" s="25">
        <f t="shared" si="18"/>
        <v>80.54945672939834</v>
      </c>
      <c r="K51" s="22">
        <v>22598955.58</v>
      </c>
      <c r="L51" s="22">
        <v>25350025.33</v>
      </c>
      <c r="M51" s="26">
        <f t="shared" si="19"/>
        <v>-0.10852335310072844</v>
      </c>
      <c r="N51" s="11"/>
      <c r="R51" s="2"/>
    </row>
    <row r="52" spans="1:18" ht="15.75" customHeight="1">
      <c r="A52" s="20"/>
      <c r="B52" s="21">
        <f>DATE(2010,11,1)</f>
        <v>40483</v>
      </c>
      <c r="C52" s="22">
        <v>551523</v>
      </c>
      <c r="D52" s="22">
        <v>610539</v>
      </c>
      <c r="E52" s="24">
        <f t="shared" si="15"/>
        <v>-0.09666212969196071</v>
      </c>
      <c r="F52" s="22">
        <f>+C52-286377</f>
        <v>265146</v>
      </c>
      <c r="G52" s="22">
        <f>+D52-323921</f>
        <v>286618</v>
      </c>
      <c r="H52" s="24">
        <f t="shared" si="16"/>
        <v>-0.074915043716724</v>
      </c>
      <c r="I52" s="25">
        <f t="shared" si="17"/>
        <v>37.28647215075346</v>
      </c>
      <c r="J52" s="25">
        <f t="shared" si="18"/>
        <v>77.55857897158546</v>
      </c>
      <c r="K52" s="22">
        <v>20564346.98</v>
      </c>
      <c r="L52" s="22">
        <v>23622985</v>
      </c>
      <c r="M52" s="26">
        <f t="shared" si="19"/>
        <v>-0.12947720281751013</v>
      </c>
      <c r="N52" s="11"/>
      <c r="R52" s="2"/>
    </row>
    <row r="53" spans="1:18" ht="15.75" customHeight="1">
      <c r="A53" s="20"/>
      <c r="B53" s="21">
        <f>DATE(2010,12,1)</f>
        <v>40513</v>
      </c>
      <c r="C53" s="22">
        <v>550427</v>
      </c>
      <c r="D53" s="22">
        <v>633618</v>
      </c>
      <c r="E53" s="24">
        <f t="shared" si="15"/>
        <v>-0.13129519679049523</v>
      </c>
      <c r="F53" s="22">
        <f>+C53-288259</f>
        <v>262168</v>
      </c>
      <c r="G53" s="22">
        <f>+D53-341165</f>
        <v>292453</v>
      </c>
      <c r="H53" s="24">
        <f t="shared" si="16"/>
        <v>-0.10355510116155417</v>
      </c>
      <c r="I53" s="25">
        <f t="shared" si="17"/>
        <v>38.332830784100345</v>
      </c>
      <c r="J53" s="25">
        <f t="shared" si="18"/>
        <v>80.48055083000214</v>
      </c>
      <c r="K53" s="22">
        <v>21099425.05</v>
      </c>
      <c r="L53" s="22">
        <v>22820306.56</v>
      </c>
      <c r="M53" s="26">
        <f t="shared" si="19"/>
        <v>-0.0754100960684026</v>
      </c>
      <c r="N53" s="11"/>
      <c r="R53" s="2"/>
    </row>
    <row r="54" spans="1:18" ht="15.75" customHeight="1">
      <c r="A54" s="20"/>
      <c r="B54" s="21">
        <f>DATE(2011,1,1)</f>
        <v>40544</v>
      </c>
      <c r="C54" s="22">
        <v>550420</v>
      </c>
      <c r="D54" s="22">
        <v>637283</v>
      </c>
      <c r="E54" s="24">
        <f t="shared" si="15"/>
        <v>-0.1363020824343345</v>
      </c>
      <c r="F54" s="22">
        <f>+C54-288071</f>
        <v>262349</v>
      </c>
      <c r="G54" s="22">
        <f>+D54-341902</f>
        <v>295381</v>
      </c>
      <c r="H54" s="24">
        <f t="shared" si="16"/>
        <v>-0.11182845206699145</v>
      </c>
      <c r="I54" s="25">
        <f t="shared" si="17"/>
        <v>37.20997460121362</v>
      </c>
      <c r="J54" s="25">
        <f t="shared" si="18"/>
        <v>78.06820006937323</v>
      </c>
      <c r="K54" s="22">
        <v>20481114.22</v>
      </c>
      <c r="L54" s="22">
        <v>22769827.8</v>
      </c>
      <c r="M54" s="26">
        <f t="shared" si="19"/>
        <v>-0.1005151905452707</v>
      </c>
      <c r="N54" s="11"/>
      <c r="R54" s="2"/>
    </row>
    <row r="55" spans="1:18" ht="15.75" customHeight="1">
      <c r="A55" s="20"/>
      <c r="B55" s="21">
        <f>DATE(2011,2,1)</f>
        <v>40575</v>
      </c>
      <c r="C55" s="22">
        <v>543684</v>
      </c>
      <c r="D55" s="22">
        <v>623819</v>
      </c>
      <c r="E55" s="24">
        <f t="shared" si="15"/>
        <v>-0.1284587356268405</v>
      </c>
      <c r="F55" s="22">
        <f>+C55-291915</f>
        <v>251769</v>
      </c>
      <c r="G55" s="22">
        <f>+D55-326897</f>
        <v>296922</v>
      </c>
      <c r="H55" s="24">
        <f t="shared" si="16"/>
        <v>-0.15207024066926667</v>
      </c>
      <c r="I55" s="25">
        <f t="shared" si="17"/>
        <v>39.47872970328353</v>
      </c>
      <c r="J55" s="25">
        <f t="shared" si="18"/>
        <v>85.25256755200203</v>
      </c>
      <c r="K55" s="22">
        <v>21463953.68</v>
      </c>
      <c r="L55" s="22">
        <v>23542357.67</v>
      </c>
      <c r="M55" s="26">
        <f t="shared" si="19"/>
        <v>-0.08828359585448443</v>
      </c>
      <c r="N55" s="11"/>
      <c r="R55" s="2"/>
    </row>
    <row r="56" spans="1:18" ht="15.75" customHeight="1">
      <c r="A56" s="20"/>
      <c r="B56" s="21">
        <f>DATE(2011,3,1)</f>
        <v>40603</v>
      </c>
      <c r="C56" s="22">
        <v>578930</v>
      </c>
      <c r="D56" s="22">
        <v>637500</v>
      </c>
      <c r="E56" s="24">
        <f t="shared" si="15"/>
        <v>-0.09187450980392158</v>
      </c>
      <c r="F56" s="22">
        <f>+C56-304249</f>
        <v>274681</v>
      </c>
      <c r="G56" s="22">
        <f>+D56-326951</f>
        <v>310549</v>
      </c>
      <c r="H56" s="24">
        <f t="shared" si="16"/>
        <v>-0.11549868136751366</v>
      </c>
      <c r="I56" s="25">
        <f t="shared" si="17"/>
        <v>40.285403952118564</v>
      </c>
      <c r="J56" s="25">
        <f t="shared" si="18"/>
        <v>84.90732489688038</v>
      </c>
      <c r="K56" s="22">
        <v>23322428.91</v>
      </c>
      <c r="L56" s="22">
        <v>23510107.22</v>
      </c>
      <c r="M56" s="26">
        <f t="shared" si="19"/>
        <v>-0.007982877672303473</v>
      </c>
      <c r="N56" s="11"/>
      <c r="R56" s="2"/>
    </row>
    <row r="57" spans="1:18" ht="15.75" customHeight="1">
      <c r="A57" s="20"/>
      <c r="B57" s="21">
        <f>DATE(2011,4,1)</f>
        <v>40634</v>
      </c>
      <c r="C57" s="22">
        <v>627457</v>
      </c>
      <c r="D57" s="22">
        <v>633646</v>
      </c>
      <c r="E57" s="24">
        <f t="shared" si="15"/>
        <v>-0.009767283309608204</v>
      </c>
      <c r="F57" s="22">
        <f>+C57-338145</f>
        <v>289312</v>
      </c>
      <c r="G57" s="22">
        <f>+D57-330307</f>
        <v>303339</v>
      </c>
      <c r="H57" s="24">
        <f t="shared" si="16"/>
        <v>-0.04624199328144419</v>
      </c>
      <c r="I57" s="25">
        <f t="shared" si="17"/>
        <v>38.378828891860316</v>
      </c>
      <c r="J57" s="25">
        <f t="shared" si="18"/>
        <v>83.23562396305718</v>
      </c>
      <c r="K57" s="22">
        <v>24081064.84</v>
      </c>
      <c r="L57" s="22">
        <v>24262216.64</v>
      </c>
      <c r="M57" s="26">
        <f t="shared" si="19"/>
        <v>-0.007466415896284765</v>
      </c>
      <c r="N57" s="11"/>
      <c r="R57" s="2"/>
    </row>
    <row r="58" spans="1:18" ht="15.75" thickBot="1">
      <c r="A58" s="39"/>
      <c r="B58" s="52"/>
      <c r="C58" s="22"/>
      <c r="D58" s="22"/>
      <c r="E58" s="24"/>
      <c r="F58" s="22"/>
      <c r="G58" s="22"/>
      <c r="H58" s="24"/>
      <c r="I58" s="25"/>
      <c r="J58" s="25"/>
      <c r="K58" s="22"/>
      <c r="L58" s="22"/>
      <c r="M58" s="26"/>
      <c r="N58" s="11"/>
      <c r="R58" s="2"/>
    </row>
    <row r="59" spans="1:18" ht="17.25" thickBot="1" thickTop="1">
      <c r="A59" s="40" t="s">
        <v>14</v>
      </c>
      <c r="B59" s="41"/>
      <c r="C59" s="42">
        <f>SUM(C48:C58)</f>
        <v>5873052</v>
      </c>
      <c r="D59" s="42">
        <f>SUM(D48:D58)</f>
        <v>6539736</v>
      </c>
      <c r="E59" s="43">
        <f>(+C59-D59)/D59</f>
        <v>-0.10194356469435463</v>
      </c>
      <c r="F59" s="42">
        <f>SUM(F48:F58)</f>
        <v>2788776</v>
      </c>
      <c r="G59" s="42">
        <f>SUM(G48:G58)</f>
        <v>3098296</v>
      </c>
      <c r="H59" s="44">
        <f>(+F59-G59)/G59</f>
        <v>-0.0999000741052501</v>
      </c>
      <c r="I59" s="45">
        <f>K59/C59</f>
        <v>38.11817979646698</v>
      </c>
      <c r="J59" s="45">
        <f>K59/F59</f>
        <v>80.27537962532666</v>
      </c>
      <c r="K59" s="42">
        <f>SUM(K48:K58)</f>
        <v>223870052.09</v>
      </c>
      <c r="L59" s="42">
        <f>SUM(L48:L58)</f>
        <v>244879422.97000003</v>
      </c>
      <c r="M59" s="46">
        <f>(+K59-L59)/L59</f>
        <v>-0.08579475819237725</v>
      </c>
      <c r="N59" s="11"/>
      <c r="R59" s="2"/>
    </row>
    <row r="60" spans="1:18" ht="15.75" thickTop="1">
      <c r="A60" s="47"/>
      <c r="B60" s="48"/>
      <c r="C60" s="49"/>
      <c r="D60" s="49"/>
      <c r="E60" s="50"/>
      <c r="F60" s="49"/>
      <c r="G60" s="49"/>
      <c r="H60" s="50"/>
      <c r="I60" s="51"/>
      <c r="J60" s="51"/>
      <c r="K60" s="49"/>
      <c r="L60" s="49"/>
      <c r="M60" s="26"/>
      <c r="N60" s="11"/>
      <c r="R60" s="2"/>
    </row>
    <row r="61" spans="1:18" ht="15.75">
      <c r="A61" s="20" t="s">
        <v>17</v>
      </c>
      <c r="B61" s="21">
        <f>DATE(2010,7,1)</f>
        <v>40360</v>
      </c>
      <c r="C61" s="22">
        <v>470432</v>
      </c>
      <c r="D61" s="22">
        <v>445555</v>
      </c>
      <c r="E61" s="24">
        <f aca="true" t="shared" si="20" ref="E61:E70">(+C61-D61)/D61</f>
        <v>0.055833735453535475</v>
      </c>
      <c r="F61" s="22">
        <f>+C61-222180</f>
        <v>248252</v>
      </c>
      <c r="G61" s="22">
        <f>+D61-213986</f>
        <v>231569</v>
      </c>
      <c r="H61" s="24">
        <f aca="true" t="shared" si="21" ref="H61:H70">(+F61-G61)/G61</f>
        <v>0.07204332186087084</v>
      </c>
      <c r="I61" s="25">
        <f aca="true" t="shared" si="22" ref="I61:I70">K61/C61</f>
        <v>36.85765509149037</v>
      </c>
      <c r="J61" s="25">
        <f aca="true" t="shared" si="23" ref="J61:J70">K61/F61</f>
        <v>69.84443388170085</v>
      </c>
      <c r="K61" s="22">
        <v>17339020.4</v>
      </c>
      <c r="L61" s="22">
        <v>16041714.16</v>
      </c>
      <c r="M61" s="26">
        <f aca="true" t="shared" si="24" ref="M61:M70">(+K61-L61)/L61</f>
        <v>0.0808707989096845</v>
      </c>
      <c r="N61" s="11"/>
      <c r="R61" s="2"/>
    </row>
    <row r="62" spans="1:18" ht="15.75">
      <c r="A62" s="20"/>
      <c r="B62" s="21">
        <f>DATE(2010,8,1)</f>
        <v>40391</v>
      </c>
      <c r="C62" s="22">
        <v>437093</v>
      </c>
      <c r="D62" s="22">
        <v>433008</v>
      </c>
      <c r="E62" s="24">
        <f t="shared" si="20"/>
        <v>0.009434005838229316</v>
      </c>
      <c r="F62" s="22">
        <f>+C62-203964</f>
        <v>233129</v>
      </c>
      <c r="G62" s="22">
        <f>+D62-211110</f>
        <v>221898</v>
      </c>
      <c r="H62" s="24">
        <f t="shared" si="21"/>
        <v>0.05061334487016557</v>
      </c>
      <c r="I62" s="25">
        <f t="shared" si="22"/>
        <v>37.01858302466523</v>
      </c>
      <c r="J62" s="25">
        <f t="shared" si="23"/>
        <v>69.40605205701564</v>
      </c>
      <c r="K62" s="22">
        <v>16180563.51</v>
      </c>
      <c r="L62" s="22">
        <v>16506641.69</v>
      </c>
      <c r="M62" s="26">
        <f t="shared" si="24"/>
        <v>-0.019754362281792507</v>
      </c>
      <c r="N62" s="11"/>
      <c r="R62" s="2"/>
    </row>
    <row r="63" spans="1:18" ht="15.75">
      <c r="A63" s="20"/>
      <c r="B63" s="21">
        <f>DATE(2010,9,1)</f>
        <v>40422</v>
      </c>
      <c r="C63" s="22">
        <v>427224</v>
      </c>
      <c r="D63" s="22">
        <v>390803</v>
      </c>
      <c r="E63" s="24">
        <f t="shared" si="20"/>
        <v>0.09319529276899102</v>
      </c>
      <c r="F63" s="22">
        <f>+C63-204920</f>
        <v>222304</v>
      </c>
      <c r="G63" s="22">
        <f>+D63-187817</f>
        <v>202986</v>
      </c>
      <c r="H63" s="24">
        <f t="shared" si="21"/>
        <v>0.09516912496428324</v>
      </c>
      <c r="I63" s="25">
        <f t="shared" si="22"/>
        <v>36.50256214538509</v>
      </c>
      <c r="J63" s="25">
        <f t="shared" si="23"/>
        <v>70.15065230495178</v>
      </c>
      <c r="K63" s="22">
        <v>15594770.61</v>
      </c>
      <c r="L63" s="22">
        <v>14983764.94</v>
      </c>
      <c r="M63" s="26">
        <f t="shared" si="24"/>
        <v>0.040777846719210475</v>
      </c>
      <c r="N63" s="11"/>
      <c r="R63" s="2"/>
    </row>
    <row r="64" spans="1:18" ht="15.75">
      <c r="A64" s="20"/>
      <c r="B64" s="21">
        <f>DATE(2010,10,1)</f>
        <v>40452</v>
      </c>
      <c r="C64" s="22">
        <v>437688</v>
      </c>
      <c r="D64" s="22">
        <v>493252</v>
      </c>
      <c r="E64" s="24">
        <f t="shared" si="20"/>
        <v>-0.11264830147672995</v>
      </c>
      <c r="F64" s="22">
        <f>+C64-213449</f>
        <v>224239</v>
      </c>
      <c r="G64" s="22">
        <f>+D64-231757</f>
        <v>261495</v>
      </c>
      <c r="H64" s="24">
        <f t="shared" si="21"/>
        <v>-0.14247308743953038</v>
      </c>
      <c r="I64" s="25">
        <f t="shared" si="22"/>
        <v>38.237322019337974</v>
      </c>
      <c r="J64" s="25">
        <f t="shared" si="23"/>
        <v>74.63472901680795</v>
      </c>
      <c r="K64" s="22">
        <v>16736017</v>
      </c>
      <c r="L64" s="22">
        <v>17297711.24</v>
      </c>
      <c r="M64" s="26">
        <f t="shared" si="24"/>
        <v>-0.03247217115644245</v>
      </c>
      <c r="N64" s="11"/>
      <c r="R64" s="2"/>
    </row>
    <row r="65" spans="1:18" ht="15.75">
      <c r="A65" s="20"/>
      <c r="B65" s="21">
        <f>DATE(2010,11,1)</f>
        <v>40483</v>
      </c>
      <c r="C65" s="22">
        <v>406921</v>
      </c>
      <c r="D65" s="22">
        <v>425962</v>
      </c>
      <c r="E65" s="24">
        <f t="shared" si="20"/>
        <v>-0.044701170526948414</v>
      </c>
      <c r="F65" s="22">
        <f>+C65-199040</f>
        <v>207881</v>
      </c>
      <c r="G65" s="22">
        <f>+D65-218020</f>
        <v>207942</v>
      </c>
      <c r="H65" s="24">
        <f t="shared" si="21"/>
        <v>-0.00029335103057583366</v>
      </c>
      <c r="I65" s="25">
        <f t="shared" si="22"/>
        <v>38.61025112982618</v>
      </c>
      <c r="J65" s="25">
        <f t="shared" si="23"/>
        <v>75.57844151221131</v>
      </c>
      <c r="K65" s="22">
        <v>15711322</v>
      </c>
      <c r="L65" s="22">
        <v>15242499.64</v>
      </c>
      <c r="M65" s="26">
        <f t="shared" si="24"/>
        <v>0.030757577239476936</v>
      </c>
      <c r="N65" s="11"/>
      <c r="R65" s="2"/>
    </row>
    <row r="66" spans="1:18" ht="15.75">
      <c r="A66" s="20"/>
      <c r="B66" s="21">
        <f>DATE(2010,12,1)</f>
        <v>40513</v>
      </c>
      <c r="C66" s="22">
        <v>424467</v>
      </c>
      <c r="D66" s="22">
        <v>412883</v>
      </c>
      <c r="E66" s="24">
        <f t="shared" si="20"/>
        <v>0.028056374323961027</v>
      </c>
      <c r="F66" s="22">
        <f>+C66-206359</f>
        <v>218108</v>
      </c>
      <c r="G66" s="22">
        <f>+D66-202017</f>
        <v>210866</v>
      </c>
      <c r="H66" s="24">
        <f t="shared" si="21"/>
        <v>0.03434408581753341</v>
      </c>
      <c r="I66" s="25">
        <f t="shared" si="22"/>
        <v>37.050953666598346</v>
      </c>
      <c r="J66" s="25">
        <f t="shared" si="23"/>
        <v>72.10605365231903</v>
      </c>
      <c r="K66" s="22">
        <v>15726907.15</v>
      </c>
      <c r="L66" s="22">
        <v>14406677.1</v>
      </c>
      <c r="M66" s="26">
        <f t="shared" si="24"/>
        <v>0.09164014996907238</v>
      </c>
      <c r="N66" s="11"/>
      <c r="R66" s="2"/>
    </row>
    <row r="67" spans="1:18" ht="15.75">
      <c r="A67" s="20"/>
      <c r="B67" s="21">
        <f>DATE(2011,1,1)</f>
        <v>40544</v>
      </c>
      <c r="C67" s="22">
        <v>389543</v>
      </c>
      <c r="D67" s="22">
        <v>435340</v>
      </c>
      <c r="E67" s="24">
        <f t="shared" si="20"/>
        <v>-0.1051982358616254</v>
      </c>
      <c r="F67" s="22">
        <f>+C67-192928</f>
        <v>196615</v>
      </c>
      <c r="G67" s="22">
        <f>+D67-216559</f>
        <v>218781</v>
      </c>
      <c r="H67" s="24">
        <f t="shared" si="21"/>
        <v>-0.10131592779994607</v>
      </c>
      <c r="I67" s="25">
        <f t="shared" si="22"/>
        <v>38.58509797377953</v>
      </c>
      <c r="J67" s="25">
        <f t="shared" si="23"/>
        <v>76.44663336978358</v>
      </c>
      <c r="K67" s="22">
        <v>15030554.82</v>
      </c>
      <c r="L67" s="22">
        <v>14465639.8</v>
      </c>
      <c r="M67" s="26">
        <f t="shared" si="24"/>
        <v>0.03905219733177647</v>
      </c>
      <c r="N67" s="11"/>
      <c r="R67" s="2"/>
    </row>
    <row r="68" spans="1:18" ht="15.75">
      <c r="A68" s="20"/>
      <c r="B68" s="21">
        <f>DATE(2011,2,1)</f>
        <v>40575</v>
      </c>
      <c r="C68" s="22">
        <v>392745</v>
      </c>
      <c r="D68" s="22">
        <v>505933</v>
      </c>
      <c r="E68" s="24">
        <f t="shared" si="20"/>
        <v>-0.22372132278384688</v>
      </c>
      <c r="F68" s="22">
        <f>+C68-195540</f>
        <v>197205</v>
      </c>
      <c r="G68" s="22">
        <f>+D68-233333</f>
        <v>272600</v>
      </c>
      <c r="H68" s="24">
        <f t="shared" si="21"/>
        <v>-0.2765774027879677</v>
      </c>
      <c r="I68" s="25">
        <f t="shared" si="22"/>
        <v>38.0110718405072</v>
      </c>
      <c r="J68" s="25">
        <f t="shared" si="23"/>
        <v>75.70121655130448</v>
      </c>
      <c r="K68" s="22">
        <v>14928658.41</v>
      </c>
      <c r="L68" s="22">
        <v>16920779.85</v>
      </c>
      <c r="M68" s="26">
        <f t="shared" si="24"/>
        <v>-0.11773224742948246</v>
      </c>
      <c r="N68" s="11"/>
      <c r="R68" s="2"/>
    </row>
    <row r="69" spans="1:18" ht="15.75">
      <c r="A69" s="20"/>
      <c r="B69" s="21">
        <f>DATE(2011,3,1)</f>
        <v>40603</v>
      </c>
      <c r="C69" s="22">
        <v>448124</v>
      </c>
      <c r="D69" s="22">
        <v>541716</v>
      </c>
      <c r="E69" s="24">
        <f t="shared" si="20"/>
        <v>-0.17276949545518316</v>
      </c>
      <c r="F69" s="22">
        <f>+C69-222196</f>
        <v>225928</v>
      </c>
      <c r="G69" s="22">
        <f>+D69-246996</f>
        <v>294720</v>
      </c>
      <c r="H69" s="24">
        <f t="shared" si="21"/>
        <v>-0.23341476655808904</v>
      </c>
      <c r="I69" s="25">
        <f t="shared" si="22"/>
        <v>38.490334951932944</v>
      </c>
      <c r="J69" s="25">
        <f t="shared" si="23"/>
        <v>76.34486588647711</v>
      </c>
      <c r="K69" s="22">
        <v>17248442.86</v>
      </c>
      <c r="L69" s="22">
        <v>18018010.45</v>
      </c>
      <c r="M69" s="26">
        <f t="shared" si="24"/>
        <v>-0.042711019184695824</v>
      </c>
      <c r="N69" s="11"/>
      <c r="R69" s="2"/>
    </row>
    <row r="70" spans="1:18" ht="15.75">
      <c r="A70" s="20"/>
      <c r="B70" s="21">
        <f>DATE(2011,4,1)</f>
        <v>40634</v>
      </c>
      <c r="C70" s="22">
        <v>419947</v>
      </c>
      <c r="D70" s="22">
        <v>466496</v>
      </c>
      <c r="E70" s="24">
        <f t="shared" si="20"/>
        <v>-0.09978434970503498</v>
      </c>
      <c r="F70" s="22">
        <f>+C70-202476</f>
        <v>217471</v>
      </c>
      <c r="G70" s="22">
        <f>+D70-221061</f>
        <v>245435</v>
      </c>
      <c r="H70" s="24">
        <f t="shared" si="21"/>
        <v>-0.11393648012712124</v>
      </c>
      <c r="I70" s="25">
        <f t="shared" si="22"/>
        <v>41.38014597080108</v>
      </c>
      <c r="J70" s="25">
        <f t="shared" si="23"/>
        <v>79.90705960794773</v>
      </c>
      <c r="K70" s="22">
        <v>17377468.16</v>
      </c>
      <c r="L70" s="22">
        <v>17796843.76</v>
      </c>
      <c r="M70" s="26">
        <f t="shared" si="24"/>
        <v>-0.02356460536798023</v>
      </c>
      <c r="N70" s="11"/>
      <c r="R70" s="2"/>
    </row>
    <row r="71" spans="1:18" ht="15.75" thickBot="1">
      <c r="A71" s="39"/>
      <c r="B71" s="21"/>
      <c r="C71" s="22"/>
      <c r="D71" s="22"/>
      <c r="E71" s="24"/>
      <c r="F71" s="22"/>
      <c r="G71" s="22"/>
      <c r="H71" s="24"/>
      <c r="I71" s="25"/>
      <c r="J71" s="25"/>
      <c r="K71" s="22"/>
      <c r="L71" s="22"/>
      <c r="M71" s="26"/>
      <c r="N71" s="11"/>
      <c r="R71" s="2"/>
    </row>
    <row r="72" spans="1:18" ht="17.25" thickBot="1" thickTop="1">
      <c r="A72" s="40" t="s">
        <v>14</v>
      </c>
      <c r="B72" s="41"/>
      <c r="C72" s="42">
        <f>SUM(C61:C71)</f>
        <v>4254184</v>
      </c>
      <c r="D72" s="42">
        <f>SUM(D61:D71)</f>
        <v>4550948</v>
      </c>
      <c r="E72" s="53">
        <f>(+C72-D72)/D72</f>
        <v>-0.06520927068382236</v>
      </c>
      <c r="F72" s="54">
        <f>SUM(F61:F71)</f>
        <v>2191132</v>
      </c>
      <c r="G72" s="55">
        <f>SUM(G61:G71)</f>
        <v>2368292</v>
      </c>
      <c r="H72" s="56">
        <f>(+F72-G72)/G72</f>
        <v>-0.07480496492831121</v>
      </c>
      <c r="I72" s="57">
        <f>K72/C72</f>
        <v>38.05047570109802</v>
      </c>
      <c r="J72" s="58">
        <f>K72/F72</f>
        <v>73.87675636155193</v>
      </c>
      <c r="K72" s="55">
        <f>SUM(K61:K71)</f>
        <v>161873724.92</v>
      </c>
      <c r="L72" s="54">
        <f>SUM(L61:L71)</f>
        <v>161680282.62999997</v>
      </c>
      <c r="M72" s="46">
        <f>(+K72-L72)/L72</f>
        <v>0.0011964494795120306</v>
      </c>
      <c r="N72" s="11"/>
      <c r="R72" s="2"/>
    </row>
    <row r="73" spans="1:18" ht="16.5" thickTop="1">
      <c r="A73" s="59"/>
      <c r="B73" s="48"/>
      <c r="C73" s="49"/>
      <c r="D73" s="49"/>
      <c r="E73" s="50"/>
      <c r="F73" s="49"/>
      <c r="G73" s="49"/>
      <c r="H73" s="50"/>
      <c r="I73" s="51"/>
      <c r="J73" s="51"/>
      <c r="K73" s="49"/>
      <c r="L73" s="49"/>
      <c r="M73" s="26"/>
      <c r="N73" s="11"/>
      <c r="R73" s="2"/>
    </row>
    <row r="74" spans="1:18" ht="15.75">
      <c r="A74" s="20" t="s">
        <v>18</v>
      </c>
      <c r="B74" s="21">
        <f>DATE(2010,7,1)</f>
        <v>40360</v>
      </c>
      <c r="C74" s="22">
        <v>270755</v>
      </c>
      <c r="D74" s="22">
        <v>278760</v>
      </c>
      <c r="E74" s="24">
        <f aca="true" t="shared" si="25" ref="E74:E83">(+C74-D74)/D74</f>
        <v>-0.028716458602381978</v>
      </c>
      <c r="F74" s="22">
        <f>+C74-133059</f>
        <v>137696</v>
      </c>
      <c r="G74" s="22">
        <f>+D74-134665</f>
        <v>144095</v>
      </c>
      <c r="H74" s="24">
        <f aca="true" t="shared" si="26" ref="H74:H82">(+F74-G74)/G74</f>
        <v>-0.04440820292168361</v>
      </c>
      <c r="I74" s="25">
        <f aca="true" t="shared" si="27" ref="I74:I83">K74/C74</f>
        <v>26.234638584698345</v>
      </c>
      <c r="J74" s="25">
        <f aca="true" t="shared" si="28" ref="J74:J83">K74/F74</f>
        <v>51.58580910120846</v>
      </c>
      <c r="K74" s="22">
        <v>7103159.57</v>
      </c>
      <c r="L74" s="22">
        <v>7080858.92</v>
      </c>
      <c r="M74" s="26">
        <f aca="true" t="shared" si="29" ref="M74:M83">(+K74-L74)/L74</f>
        <v>0.003149427244908358</v>
      </c>
      <c r="N74" s="11"/>
      <c r="R74" s="2"/>
    </row>
    <row r="75" spans="1:18" ht="15.75">
      <c r="A75" s="20"/>
      <c r="B75" s="21">
        <f>DATE(2010,8,1)</f>
        <v>40391</v>
      </c>
      <c r="C75" s="22">
        <v>266454</v>
      </c>
      <c r="D75" s="22">
        <v>266566</v>
      </c>
      <c r="E75" s="24">
        <f t="shared" si="25"/>
        <v>-0.0004201586098752279</v>
      </c>
      <c r="F75" s="22">
        <f>+C75-128500</f>
        <v>137954</v>
      </c>
      <c r="G75" s="22">
        <f>+D75-129097</f>
        <v>137469</v>
      </c>
      <c r="H75" s="24">
        <f t="shared" si="26"/>
        <v>0.0035280681462729778</v>
      </c>
      <c r="I75" s="25">
        <f t="shared" si="27"/>
        <v>26.377525839356885</v>
      </c>
      <c r="J75" s="25">
        <f t="shared" si="28"/>
        <v>50.947397465821936</v>
      </c>
      <c r="K75" s="22">
        <v>7028397.27</v>
      </c>
      <c r="L75" s="22">
        <v>6992355.77</v>
      </c>
      <c r="M75" s="26">
        <f t="shared" si="29"/>
        <v>0.005154414504283726</v>
      </c>
      <c r="N75" s="11"/>
      <c r="R75" s="2"/>
    </row>
    <row r="76" spans="1:18" ht="15.75">
      <c r="A76" s="20"/>
      <c r="B76" s="21">
        <f>DATE(2010,9,1)</f>
        <v>40422</v>
      </c>
      <c r="C76" s="22">
        <v>252172</v>
      </c>
      <c r="D76" s="22">
        <v>261093</v>
      </c>
      <c r="E76" s="24">
        <f t="shared" si="25"/>
        <v>-0.03416790185872467</v>
      </c>
      <c r="F76" s="22">
        <f>+C76-123375</f>
        <v>128797</v>
      </c>
      <c r="G76" s="22">
        <f>+D76-125708</f>
        <v>135385</v>
      </c>
      <c r="H76" s="24">
        <f t="shared" si="26"/>
        <v>-0.04866122539424604</v>
      </c>
      <c r="I76" s="25">
        <f t="shared" si="27"/>
        <v>26.734700680487922</v>
      </c>
      <c r="J76" s="25">
        <f t="shared" si="28"/>
        <v>52.343943880680456</v>
      </c>
      <c r="K76" s="22">
        <v>6741742.94</v>
      </c>
      <c r="L76" s="22">
        <v>6974959.72</v>
      </c>
      <c r="M76" s="26">
        <f t="shared" si="29"/>
        <v>-0.03343629058262136</v>
      </c>
      <c r="N76" s="11"/>
      <c r="R76" s="2"/>
    </row>
    <row r="77" spans="1:18" ht="15.75">
      <c r="A77" s="20"/>
      <c r="B77" s="21">
        <f>DATE(2010,10,1)</f>
        <v>40452</v>
      </c>
      <c r="C77" s="22">
        <v>279784</v>
      </c>
      <c r="D77" s="22">
        <v>256514</v>
      </c>
      <c r="E77" s="24">
        <f t="shared" si="25"/>
        <v>0.09071629618656292</v>
      </c>
      <c r="F77" s="22">
        <f>+C77-143403</f>
        <v>136381</v>
      </c>
      <c r="G77" s="22">
        <f>+D77-124603</f>
        <v>131911</v>
      </c>
      <c r="H77" s="24">
        <f t="shared" si="26"/>
        <v>0.033886484068803964</v>
      </c>
      <c r="I77" s="25">
        <f t="shared" si="27"/>
        <v>24.893671117719382</v>
      </c>
      <c r="J77" s="25">
        <f t="shared" si="28"/>
        <v>51.069070325045274</v>
      </c>
      <c r="K77" s="22">
        <v>6964850.88</v>
      </c>
      <c r="L77" s="22">
        <v>6768641.47</v>
      </c>
      <c r="M77" s="26">
        <f t="shared" si="29"/>
        <v>0.02898800458993733</v>
      </c>
      <c r="N77" s="11"/>
      <c r="R77" s="2"/>
    </row>
    <row r="78" spans="1:18" ht="15.75">
      <c r="A78" s="20"/>
      <c r="B78" s="21">
        <f>DATE(2010,11,1)</f>
        <v>40483</v>
      </c>
      <c r="C78" s="22">
        <v>239428</v>
      </c>
      <c r="D78" s="22">
        <v>236481</v>
      </c>
      <c r="E78" s="24">
        <f t="shared" si="25"/>
        <v>0.012461889115827487</v>
      </c>
      <c r="F78" s="22">
        <f>+C78-119595</f>
        <v>119833</v>
      </c>
      <c r="G78" s="22">
        <f>+D78-116189</f>
        <v>120292</v>
      </c>
      <c r="H78" s="24">
        <f t="shared" si="26"/>
        <v>-0.0038157150932730355</v>
      </c>
      <c r="I78" s="25">
        <f t="shared" si="27"/>
        <v>26.48280075847436</v>
      </c>
      <c r="J78" s="25">
        <f t="shared" si="28"/>
        <v>52.913004097368834</v>
      </c>
      <c r="K78" s="22">
        <v>6340724.02</v>
      </c>
      <c r="L78" s="22">
        <v>6205104.09</v>
      </c>
      <c r="M78" s="26">
        <f t="shared" si="29"/>
        <v>0.021856189361683973</v>
      </c>
      <c r="N78" s="11"/>
      <c r="R78" s="2"/>
    </row>
    <row r="79" spans="1:18" ht="15.75">
      <c r="A79" s="20"/>
      <c r="B79" s="21">
        <f>DATE(2010,12,1)</f>
        <v>40513</v>
      </c>
      <c r="C79" s="22">
        <v>243720</v>
      </c>
      <c r="D79" s="22">
        <v>221528</v>
      </c>
      <c r="E79" s="24">
        <f t="shared" si="25"/>
        <v>0.10017695280054892</v>
      </c>
      <c r="F79" s="22">
        <f>+C79-120126</f>
        <v>123594</v>
      </c>
      <c r="G79" s="22">
        <f>+D79-108019</f>
        <v>113509</v>
      </c>
      <c r="H79" s="24">
        <f t="shared" si="26"/>
        <v>0.08884758036807654</v>
      </c>
      <c r="I79" s="25">
        <f t="shared" si="27"/>
        <v>27.857198014114555</v>
      </c>
      <c r="J79" s="25">
        <f t="shared" si="28"/>
        <v>54.932733789666166</v>
      </c>
      <c r="K79" s="22">
        <v>6789356.3</v>
      </c>
      <c r="L79" s="22">
        <v>6224953.31</v>
      </c>
      <c r="M79" s="26">
        <f t="shared" si="29"/>
        <v>0.09066782703306737</v>
      </c>
      <c r="N79" s="11"/>
      <c r="R79" s="2"/>
    </row>
    <row r="80" spans="1:18" ht="15.75">
      <c r="A80" s="20"/>
      <c r="B80" s="21">
        <f>DATE(2011,1,1)</f>
        <v>40544</v>
      </c>
      <c r="C80" s="22">
        <v>231024</v>
      </c>
      <c r="D80" s="22">
        <v>221057</v>
      </c>
      <c r="E80" s="24">
        <f t="shared" si="25"/>
        <v>0.0450879185006582</v>
      </c>
      <c r="F80" s="22">
        <f>+C80-117146</f>
        <v>113878</v>
      </c>
      <c r="G80" s="22">
        <f>+D80-109812</f>
        <v>111245</v>
      </c>
      <c r="H80" s="24">
        <f t="shared" si="26"/>
        <v>0.02366847948222392</v>
      </c>
      <c r="I80" s="25">
        <f t="shared" si="27"/>
        <v>26.533369303622138</v>
      </c>
      <c r="J80" s="25">
        <f t="shared" si="28"/>
        <v>53.82817673299496</v>
      </c>
      <c r="K80" s="22">
        <v>6129845.11</v>
      </c>
      <c r="L80" s="22">
        <v>6045602.3</v>
      </c>
      <c r="M80" s="26">
        <f t="shared" si="29"/>
        <v>0.013934560333219492</v>
      </c>
      <c r="N80" s="11"/>
      <c r="R80" s="2"/>
    </row>
    <row r="81" spans="1:18" ht="15.75">
      <c r="A81" s="20"/>
      <c r="B81" s="21">
        <f>DATE(2011,2,1)</f>
        <v>40575</v>
      </c>
      <c r="C81" s="22">
        <v>243860</v>
      </c>
      <c r="D81" s="22">
        <v>242142</v>
      </c>
      <c r="E81" s="24">
        <f t="shared" si="25"/>
        <v>0.007095010365818404</v>
      </c>
      <c r="F81" s="22">
        <f>+C81-126610</f>
        <v>117250</v>
      </c>
      <c r="G81" s="22">
        <f>+D81-122381</f>
        <v>119761</v>
      </c>
      <c r="H81" s="24">
        <f t="shared" si="26"/>
        <v>-0.020966758794599243</v>
      </c>
      <c r="I81" s="25">
        <f t="shared" si="27"/>
        <v>29.85980566718609</v>
      </c>
      <c r="J81" s="25">
        <f t="shared" si="28"/>
        <v>62.10330243070362</v>
      </c>
      <c r="K81" s="22">
        <v>7281612.21</v>
      </c>
      <c r="L81" s="22">
        <v>7268881.6</v>
      </c>
      <c r="M81" s="26">
        <f t="shared" si="29"/>
        <v>0.0017513849723457232</v>
      </c>
      <c r="N81" s="11"/>
      <c r="R81" s="2"/>
    </row>
    <row r="82" spans="1:18" ht="15.75">
      <c r="A82" s="20"/>
      <c r="B82" s="21">
        <f>DATE(2011,3,1)</f>
        <v>40603</v>
      </c>
      <c r="C82" s="22">
        <v>265430</v>
      </c>
      <c r="D82" s="22">
        <v>253967</v>
      </c>
      <c r="E82" s="24">
        <f t="shared" si="25"/>
        <v>0.0451357853579402</v>
      </c>
      <c r="F82" s="22">
        <f>+C82-132226</f>
        <v>133204</v>
      </c>
      <c r="G82" s="22">
        <f>+D82-124694</f>
        <v>129273</v>
      </c>
      <c r="H82" s="24">
        <f t="shared" si="26"/>
        <v>0.0304085153125556</v>
      </c>
      <c r="I82" s="25">
        <f t="shared" si="27"/>
        <v>29.83342546057341</v>
      </c>
      <c r="J82" s="25">
        <f t="shared" si="28"/>
        <v>59.44781027596769</v>
      </c>
      <c r="K82" s="22">
        <v>7918686.12</v>
      </c>
      <c r="L82" s="22">
        <v>7400065.88</v>
      </c>
      <c r="M82" s="26">
        <f t="shared" si="29"/>
        <v>0.07008319228639087</v>
      </c>
      <c r="N82" s="11"/>
      <c r="R82" s="2"/>
    </row>
    <row r="83" spans="1:18" ht="15.75">
      <c r="A83" s="20"/>
      <c r="B83" s="21">
        <f>DATE(2011,4,1)</f>
        <v>40634</v>
      </c>
      <c r="C83" s="22">
        <v>251060</v>
      </c>
      <c r="D83" s="22">
        <v>244619</v>
      </c>
      <c r="E83" s="24">
        <f t="shared" si="25"/>
        <v>0.026330742910403524</v>
      </c>
      <c r="F83" s="22">
        <f>+C83-123659</f>
        <v>127401</v>
      </c>
      <c r="G83" s="22">
        <f>+D83-118581</f>
        <v>126038</v>
      </c>
      <c r="H83" s="24"/>
      <c r="I83" s="25">
        <f t="shared" si="27"/>
        <v>29.42435413845296</v>
      </c>
      <c r="J83" s="25">
        <f t="shared" si="28"/>
        <v>57.984461267964925</v>
      </c>
      <c r="K83" s="22">
        <v>7387278.35</v>
      </c>
      <c r="L83" s="22">
        <v>6853411.51</v>
      </c>
      <c r="M83" s="26">
        <f t="shared" si="29"/>
        <v>0.07789796938663615</v>
      </c>
      <c r="N83" s="11"/>
      <c r="R83" s="2"/>
    </row>
    <row r="84" spans="1:18" ht="17.25" customHeight="1" thickBot="1">
      <c r="A84" s="20"/>
      <c r="B84" s="52"/>
      <c r="C84" s="22"/>
      <c r="D84" s="22"/>
      <c r="E84" s="24"/>
      <c r="F84" s="22"/>
      <c r="G84" s="22"/>
      <c r="H84" s="24"/>
      <c r="I84" s="25"/>
      <c r="J84" s="25"/>
      <c r="K84" s="22"/>
      <c r="L84" s="22"/>
      <c r="M84" s="26"/>
      <c r="N84" s="11"/>
      <c r="R84" s="2"/>
    </row>
    <row r="85" spans="1:18" ht="17.25" customHeight="1" thickBot="1" thickTop="1">
      <c r="A85" s="40" t="s">
        <v>14</v>
      </c>
      <c r="B85" s="60"/>
      <c r="C85" s="54">
        <f>SUM(C74:C84)</f>
        <v>2543687</v>
      </c>
      <c r="D85" s="55">
        <f>SUM(D74:D84)</f>
        <v>2482727</v>
      </c>
      <c r="E85" s="53">
        <f>(+C85-D85)/D85</f>
        <v>0.024553646051297624</v>
      </c>
      <c r="F85" s="55">
        <f>SUM(F74:F84)</f>
        <v>1275988</v>
      </c>
      <c r="G85" s="54">
        <f>SUM(G74:G84)</f>
        <v>1268978</v>
      </c>
      <c r="H85" s="61">
        <f>(+F85-G85)/G85</f>
        <v>0.005524130441977718</v>
      </c>
      <c r="I85" s="58">
        <f>K85/C85</f>
        <v>27.395529705502287</v>
      </c>
      <c r="J85" s="57">
        <f>K85/F85</f>
        <v>54.61309414351859</v>
      </c>
      <c r="K85" s="54">
        <f>SUM(K74:K84)</f>
        <v>69685652.77</v>
      </c>
      <c r="L85" s="55">
        <f>SUM(L74:L84)</f>
        <v>67814834.57000001</v>
      </c>
      <c r="M85" s="46">
        <f>(+K85-L85)/L85</f>
        <v>0.0275871527500209</v>
      </c>
      <c r="N85" s="11"/>
      <c r="R85" s="2"/>
    </row>
    <row r="86" spans="1:18" ht="15.75" customHeight="1" thickTop="1">
      <c r="A86" s="59"/>
      <c r="B86" s="48"/>
      <c r="C86" s="49"/>
      <c r="D86" s="49"/>
      <c r="E86" s="50"/>
      <c r="F86" s="49"/>
      <c r="G86" s="49"/>
      <c r="H86" s="50"/>
      <c r="I86" s="51"/>
      <c r="J86" s="51"/>
      <c r="K86" s="49"/>
      <c r="L86" s="49"/>
      <c r="M86" s="26"/>
      <c r="N86" s="11"/>
      <c r="R86" s="2"/>
    </row>
    <row r="87" spans="1:18" ht="15.75" customHeight="1">
      <c r="A87" s="20" t="s">
        <v>61</v>
      </c>
      <c r="B87" s="21">
        <f>DATE(2010,7,1)</f>
        <v>40360</v>
      </c>
      <c r="C87" s="22">
        <v>602289</v>
      </c>
      <c r="D87" s="22">
        <v>677321</v>
      </c>
      <c r="E87" s="24">
        <f aca="true" t="shared" si="30" ref="E87:E96">(+C87-D87)/D87</f>
        <v>-0.11077760766313166</v>
      </c>
      <c r="F87" s="22">
        <f>+C87-299646</f>
        <v>302643</v>
      </c>
      <c r="G87" s="22">
        <f>+D87-320288</f>
        <v>357033</v>
      </c>
      <c r="H87" s="24">
        <f aca="true" t="shared" si="31" ref="H87:H96">(+F87-G87)/G87</f>
        <v>-0.15233885943316164</v>
      </c>
      <c r="I87" s="25">
        <f aca="true" t="shared" si="32" ref="I87:I96">K87/C87</f>
        <v>24.848503243459536</v>
      </c>
      <c r="J87" s="25">
        <f aca="true" t="shared" si="33" ref="J87:J96">K87/F87</f>
        <v>49.45093780460807</v>
      </c>
      <c r="K87" s="22">
        <v>14965980.17</v>
      </c>
      <c r="L87" s="22">
        <v>19611054.57</v>
      </c>
      <c r="M87" s="26">
        <f aca="true" t="shared" si="34" ref="M87:M96">(+K87-L87)/L87</f>
        <v>-0.2368600007419183</v>
      </c>
      <c r="N87" s="11"/>
      <c r="R87" s="2"/>
    </row>
    <row r="88" spans="1:18" ht="15.75" customHeight="1">
      <c r="A88" s="20"/>
      <c r="B88" s="21">
        <f>DATE(2010,8,1)</f>
        <v>40391</v>
      </c>
      <c r="C88" s="22">
        <v>577759</v>
      </c>
      <c r="D88" s="22">
        <v>668827</v>
      </c>
      <c r="E88" s="24">
        <f t="shared" si="30"/>
        <v>-0.1361607710215048</v>
      </c>
      <c r="F88" s="22">
        <f>+C88-290644</f>
        <v>287115</v>
      </c>
      <c r="G88" s="22">
        <f>+D88-313953</f>
        <v>354874</v>
      </c>
      <c r="H88" s="24">
        <f t="shared" si="31"/>
        <v>-0.19093819214707192</v>
      </c>
      <c r="I88" s="25">
        <f t="shared" si="32"/>
        <v>25.101892623048712</v>
      </c>
      <c r="J88" s="25">
        <f t="shared" si="33"/>
        <v>50.51231868763388</v>
      </c>
      <c r="K88" s="22">
        <v>14502844.38</v>
      </c>
      <c r="L88" s="22">
        <v>17107568.53</v>
      </c>
      <c r="M88" s="26">
        <f t="shared" si="34"/>
        <v>-0.15225566072889496</v>
      </c>
      <c r="N88" s="11"/>
      <c r="R88" s="2"/>
    </row>
    <row r="89" spans="1:18" ht="15.75" customHeight="1">
      <c r="A89" s="20"/>
      <c r="B89" s="21">
        <f>DATE(2010,9,1)</f>
        <v>40422</v>
      </c>
      <c r="C89" s="22">
        <v>563799</v>
      </c>
      <c r="D89" s="22">
        <v>640506</v>
      </c>
      <c r="E89" s="24">
        <f t="shared" si="30"/>
        <v>-0.1197600022482225</v>
      </c>
      <c r="F89" s="22">
        <f>+C89-274665</f>
        <v>289134</v>
      </c>
      <c r="G89" s="22">
        <f>+D89-300654</f>
        <v>339852</v>
      </c>
      <c r="H89" s="24">
        <f t="shared" si="31"/>
        <v>-0.14923554959217541</v>
      </c>
      <c r="I89" s="25">
        <f t="shared" si="32"/>
        <v>23.791934749795583</v>
      </c>
      <c r="J89" s="25">
        <f t="shared" si="33"/>
        <v>46.3932606334779</v>
      </c>
      <c r="K89" s="22">
        <v>13413869.02</v>
      </c>
      <c r="L89" s="22">
        <v>15311260.5</v>
      </c>
      <c r="M89" s="26">
        <f t="shared" si="34"/>
        <v>-0.12392131137733568</v>
      </c>
      <c r="N89" s="11"/>
      <c r="R89" s="2"/>
    </row>
    <row r="90" spans="1:18" ht="15.75" customHeight="1">
      <c r="A90" s="20"/>
      <c r="B90" s="21">
        <f>DATE(2010,10,1)</f>
        <v>40452</v>
      </c>
      <c r="C90" s="22">
        <v>550559</v>
      </c>
      <c r="D90" s="22">
        <v>628380</v>
      </c>
      <c r="E90" s="24">
        <f t="shared" si="30"/>
        <v>-0.12384385244597218</v>
      </c>
      <c r="F90" s="22">
        <f>+C90-267950</f>
        <v>282609</v>
      </c>
      <c r="G90" s="22">
        <f>+D90-299338</f>
        <v>329042</v>
      </c>
      <c r="H90" s="24">
        <f t="shared" si="31"/>
        <v>-0.141115723828569</v>
      </c>
      <c r="I90" s="25">
        <f t="shared" si="32"/>
        <v>26.77032254490436</v>
      </c>
      <c r="J90" s="25">
        <f t="shared" si="33"/>
        <v>52.15206171777969</v>
      </c>
      <c r="K90" s="22">
        <v>14738642.01</v>
      </c>
      <c r="L90" s="22">
        <v>17882280.27</v>
      </c>
      <c r="M90" s="26">
        <f t="shared" si="34"/>
        <v>-0.1757962750015661</v>
      </c>
      <c r="N90" s="11"/>
      <c r="R90" s="2"/>
    </row>
    <row r="91" spans="1:18" ht="15.75" customHeight="1">
      <c r="A91" s="20"/>
      <c r="B91" s="21">
        <f>DATE(2010,11,1)</f>
        <v>40483</v>
      </c>
      <c r="C91" s="22">
        <v>478021</v>
      </c>
      <c r="D91" s="22">
        <v>613534</v>
      </c>
      <c r="E91" s="24">
        <f t="shared" si="30"/>
        <v>-0.22087284486271339</v>
      </c>
      <c r="F91" s="22">
        <f>+C91-237054</f>
        <v>240967</v>
      </c>
      <c r="G91" s="22">
        <f>+D91-298125</f>
        <v>315409</v>
      </c>
      <c r="H91" s="24">
        <f t="shared" si="31"/>
        <v>-0.23601736158448236</v>
      </c>
      <c r="I91" s="25">
        <f t="shared" si="32"/>
        <v>26.762114028463184</v>
      </c>
      <c r="J91" s="25">
        <f t="shared" si="33"/>
        <v>53.089645096631486</v>
      </c>
      <c r="K91" s="22">
        <v>12792852.51</v>
      </c>
      <c r="L91" s="22">
        <v>16433741.6</v>
      </c>
      <c r="M91" s="26">
        <f t="shared" si="34"/>
        <v>-0.22154961290130057</v>
      </c>
      <c r="N91" s="11"/>
      <c r="R91" s="2"/>
    </row>
    <row r="92" spans="1:18" ht="15.75" customHeight="1">
      <c r="A92" s="20"/>
      <c r="B92" s="21">
        <f>DATE(2010,12,1)</f>
        <v>40513</v>
      </c>
      <c r="C92" s="22">
        <v>527687</v>
      </c>
      <c r="D92" s="22">
        <v>625569</v>
      </c>
      <c r="E92" s="24">
        <f t="shared" si="30"/>
        <v>-0.15646875084922687</v>
      </c>
      <c r="F92" s="22">
        <f>+C92-263129</f>
        <v>264558</v>
      </c>
      <c r="G92" s="22">
        <f>+D92-304263</f>
        <v>321306</v>
      </c>
      <c r="H92" s="24">
        <f t="shared" si="31"/>
        <v>-0.17661668316184573</v>
      </c>
      <c r="I92" s="25">
        <f t="shared" si="32"/>
        <v>25.955747877055906</v>
      </c>
      <c r="J92" s="25">
        <f t="shared" si="33"/>
        <v>51.771296766682546</v>
      </c>
      <c r="K92" s="22">
        <v>13696510.73</v>
      </c>
      <c r="L92" s="22">
        <v>17487832.08</v>
      </c>
      <c r="M92" s="26">
        <f t="shared" si="34"/>
        <v>-0.21679767581574344</v>
      </c>
      <c r="N92" s="11"/>
      <c r="R92" s="2"/>
    </row>
    <row r="93" spans="1:18" ht="15.75" customHeight="1">
      <c r="A93" s="20"/>
      <c r="B93" s="21">
        <f>DATE(2011,1,1)</f>
        <v>40544</v>
      </c>
      <c r="C93" s="22">
        <v>518877</v>
      </c>
      <c r="D93" s="22">
        <v>620945</v>
      </c>
      <c r="E93" s="24">
        <f t="shared" si="30"/>
        <v>-0.16437526673054778</v>
      </c>
      <c r="F93" s="22">
        <f>+C93-258632</f>
        <v>260245</v>
      </c>
      <c r="G93" s="22">
        <f>+D93-311596</f>
        <v>309349</v>
      </c>
      <c r="H93" s="24">
        <f t="shared" si="31"/>
        <v>-0.15873334001402947</v>
      </c>
      <c r="I93" s="25">
        <f t="shared" si="32"/>
        <v>27.004095517820215</v>
      </c>
      <c r="J93" s="25">
        <f t="shared" si="33"/>
        <v>53.84081949701243</v>
      </c>
      <c r="K93" s="22">
        <v>14011804.07</v>
      </c>
      <c r="L93" s="22">
        <v>16184846.68</v>
      </c>
      <c r="M93" s="26">
        <f t="shared" si="34"/>
        <v>-0.1342640219561227</v>
      </c>
      <c r="N93" s="11"/>
      <c r="R93" s="2"/>
    </row>
    <row r="94" spans="1:18" ht="15.75" customHeight="1">
      <c r="A94" s="20"/>
      <c r="B94" s="21">
        <f>DATE(2011,2,1)</f>
        <v>40575</v>
      </c>
      <c r="C94" s="22">
        <v>563924</v>
      </c>
      <c r="D94" s="22">
        <v>645436</v>
      </c>
      <c r="E94" s="24">
        <f t="shared" si="30"/>
        <v>-0.12628982579217768</v>
      </c>
      <c r="F94" s="22">
        <f>+C94-285908</f>
        <v>278016</v>
      </c>
      <c r="G94" s="22">
        <f>+D94-323439</f>
        <v>321997</v>
      </c>
      <c r="H94" s="24">
        <f t="shared" si="31"/>
        <v>-0.13658822908287965</v>
      </c>
      <c r="I94" s="25">
        <f t="shared" si="32"/>
        <v>27.71120560571992</v>
      </c>
      <c r="J94" s="25">
        <f t="shared" si="33"/>
        <v>56.20904519883748</v>
      </c>
      <c r="K94" s="22">
        <v>15627013.91</v>
      </c>
      <c r="L94" s="22">
        <v>18339087.96</v>
      </c>
      <c r="M94" s="26">
        <f t="shared" si="34"/>
        <v>-0.14788489241751807</v>
      </c>
      <c r="N94" s="11"/>
      <c r="R94" s="2"/>
    </row>
    <row r="95" spans="1:18" ht="15.75" customHeight="1">
      <c r="A95" s="20"/>
      <c r="B95" s="21">
        <f>DATE(2011,3,1)</f>
        <v>40603</v>
      </c>
      <c r="C95" s="22">
        <v>591409</v>
      </c>
      <c r="D95" s="22">
        <v>585165</v>
      </c>
      <c r="E95" s="24">
        <f t="shared" si="30"/>
        <v>0.01067049464680902</v>
      </c>
      <c r="F95" s="22">
        <f>+C95-297775</f>
        <v>293634</v>
      </c>
      <c r="G95" s="22">
        <f>+D95-277356</f>
        <v>307809</v>
      </c>
      <c r="H95" s="24">
        <f t="shared" si="31"/>
        <v>-0.04605128505014473</v>
      </c>
      <c r="I95" s="25">
        <f t="shared" si="32"/>
        <v>26.67389809759405</v>
      </c>
      <c r="J95" s="25">
        <f t="shared" si="33"/>
        <v>53.723967251748775</v>
      </c>
      <c r="K95" s="22">
        <v>15775183.4</v>
      </c>
      <c r="L95" s="22">
        <v>15252530.86</v>
      </c>
      <c r="M95" s="26">
        <f t="shared" si="34"/>
        <v>0.034266610885585254</v>
      </c>
      <c r="N95" s="11"/>
      <c r="R95" s="2"/>
    </row>
    <row r="96" spans="1:18" ht="15.75" customHeight="1">
      <c r="A96" s="20"/>
      <c r="B96" s="21">
        <f>DATE(2011,4,1)</f>
        <v>40634</v>
      </c>
      <c r="C96" s="22">
        <v>541609</v>
      </c>
      <c r="D96" s="22">
        <v>581278</v>
      </c>
      <c r="E96" s="24">
        <f t="shared" si="30"/>
        <v>-0.06824445446068834</v>
      </c>
      <c r="F96" s="22">
        <f>+C96-267950</f>
        <v>273659</v>
      </c>
      <c r="G96" s="22">
        <f>+D96-266917</f>
        <v>314361</v>
      </c>
      <c r="H96" s="24">
        <f t="shared" si="31"/>
        <v>-0.1294753484051775</v>
      </c>
      <c r="I96" s="25">
        <f t="shared" si="32"/>
        <v>27.73849020234154</v>
      </c>
      <c r="J96" s="25">
        <f t="shared" si="33"/>
        <v>54.89830752871274</v>
      </c>
      <c r="K96" s="22">
        <v>15023415.94</v>
      </c>
      <c r="L96" s="22">
        <v>14161640.91</v>
      </c>
      <c r="M96" s="26">
        <f t="shared" si="34"/>
        <v>0.06085276667278519</v>
      </c>
      <c r="N96" s="11"/>
      <c r="R96" s="2"/>
    </row>
    <row r="97" spans="1:18" ht="15.75" customHeight="1" thickBot="1">
      <c r="A97" s="20"/>
      <c r="B97" s="52"/>
      <c r="C97" s="22"/>
      <c r="D97" s="22"/>
      <c r="E97" s="24"/>
      <c r="F97" s="22"/>
      <c r="G97" s="22"/>
      <c r="H97" s="24"/>
      <c r="I97" s="25"/>
      <c r="J97" s="25"/>
      <c r="K97" s="22"/>
      <c r="L97" s="22"/>
      <c r="M97" s="26"/>
      <c r="N97" s="11"/>
      <c r="R97" s="2"/>
    </row>
    <row r="98" spans="1:18" ht="17.25" thickBot="1" thickTop="1">
      <c r="A98" s="40" t="s">
        <v>14</v>
      </c>
      <c r="B98" s="41"/>
      <c r="C98" s="42">
        <f>SUM(C87:C97)</f>
        <v>5515933</v>
      </c>
      <c r="D98" s="42">
        <f>SUM(D87:D97)</f>
        <v>6286961</v>
      </c>
      <c r="E98" s="43">
        <f>(+C98-D98)/D98</f>
        <v>-0.12263922107994625</v>
      </c>
      <c r="F98" s="42">
        <f>SUM(F87:F97)</f>
        <v>2772580</v>
      </c>
      <c r="G98" s="42">
        <f>SUM(G87:G97)</f>
        <v>3271032</v>
      </c>
      <c r="H98" s="44">
        <f>(+F98-G98)/G98</f>
        <v>-0.15238371254087396</v>
      </c>
      <c r="I98" s="45">
        <f>K98/C98</f>
        <v>26.20556053527119</v>
      </c>
      <c r="J98" s="45">
        <f>K98/F98</f>
        <v>52.134876591477976</v>
      </c>
      <c r="K98" s="42">
        <f>SUM(K87:K97)</f>
        <v>144548116.14000002</v>
      </c>
      <c r="L98" s="42">
        <f>SUM(L87:L97)</f>
        <v>167771843.96</v>
      </c>
      <c r="M98" s="46">
        <f>(+K98-L98)/L98</f>
        <v>-0.13842446546356713</v>
      </c>
      <c r="N98" s="11"/>
      <c r="R98" s="2"/>
    </row>
    <row r="99" spans="1:18" ht="15.75" customHeight="1" thickTop="1">
      <c r="A99" s="62"/>
      <c r="B99" s="63"/>
      <c r="C99" s="63"/>
      <c r="D99" s="63"/>
      <c r="E99" s="64"/>
      <c r="F99" s="63"/>
      <c r="G99" s="63"/>
      <c r="H99" s="64"/>
      <c r="I99" s="63"/>
      <c r="J99" s="63"/>
      <c r="K99" s="219"/>
      <c r="L99" s="219"/>
      <c r="M99" s="65"/>
      <c r="N99" s="11"/>
      <c r="R99" s="2"/>
    </row>
    <row r="100" spans="1:18" ht="15.75" customHeight="1">
      <c r="A100" s="20" t="s">
        <v>19</v>
      </c>
      <c r="B100" s="21">
        <f>DATE(2010,7,1)</f>
        <v>40360</v>
      </c>
      <c r="C100" s="22">
        <v>754533</v>
      </c>
      <c r="D100" s="22">
        <v>666613</v>
      </c>
      <c r="E100" s="24">
        <f aca="true" t="shared" si="35" ref="E100:E109">(+C100-D100)/D100</f>
        <v>0.13189061719468417</v>
      </c>
      <c r="F100" s="22">
        <f>+C100-412858</f>
        <v>341675</v>
      </c>
      <c r="G100" s="22">
        <f>+D100-346968</f>
        <v>319645</v>
      </c>
      <c r="H100" s="24">
        <f aca="true" t="shared" si="36" ref="H100:H109">(+F100-G100)/G100</f>
        <v>0.0689202083561451</v>
      </c>
      <c r="I100" s="25">
        <f aca="true" t="shared" si="37" ref="I100:I109">K100/C100</f>
        <v>29.865265442333204</v>
      </c>
      <c r="J100" s="25">
        <f aca="true" t="shared" si="38" ref="J100:J109">K100/F100</f>
        <v>65.95252309943659</v>
      </c>
      <c r="K100" s="22">
        <v>22534328.33</v>
      </c>
      <c r="L100" s="22">
        <v>21086850.74</v>
      </c>
      <c r="M100" s="26">
        <f aca="true" t="shared" si="39" ref="M100:M109">(+K100-L100)/L100</f>
        <v>0.06864361150213177</v>
      </c>
      <c r="N100" s="11"/>
      <c r="R100" s="2"/>
    </row>
    <row r="101" spans="1:18" ht="15.75" customHeight="1">
      <c r="A101" s="20"/>
      <c r="B101" s="21">
        <f>DATE(2010,8,1)</f>
        <v>40391</v>
      </c>
      <c r="C101" s="22">
        <v>665970</v>
      </c>
      <c r="D101" s="22">
        <v>653946</v>
      </c>
      <c r="E101" s="24">
        <f t="shared" si="35"/>
        <v>0.01838683928030755</v>
      </c>
      <c r="F101" s="22">
        <f>+C101-364578</f>
        <v>301392</v>
      </c>
      <c r="G101" s="22">
        <f>+D101-339176</f>
        <v>314770</v>
      </c>
      <c r="H101" s="24">
        <f t="shared" si="36"/>
        <v>-0.04250087365377895</v>
      </c>
      <c r="I101" s="25">
        <f t="shared" si="37"/>
        <v>29.424667642686607</v>
      </c>
      <c r="J101" s="25">
        <f t="shared" si="38"/>
        <v>65.01813555104316</v>
      </c>
      <c r="K101" s="22">
        <v>19595945.91</v>
      </c>
      <c r="L101" s="22">
        <v>21224137.13</v>
      </c>
      <c r="M101" s="26">
        <f t="shared" si="39"/>
        <v>-0.07671413023894268</v>
      </c>
      <c r="N101" s="11"/>
      <c r="R101" s="2"/>
    </row>
    <row r="102" spans="1:18" ht="15.75" customHeight="1">
      <c r="A102" s="20"/>
      <c r="B102" s="21">
        <f>DATE(2010,9,1)</f>
        <v>40422</v>
      </c>
      <c r="C102" s="22">
        <v>628226</v>
      </c>
      <c r="D102" s="22">
        <v>592785</v>
      </c>
      <c r="E102" s="24">
        <f t="shared" si="35"/>
        <v>0.05978727531904485</v>
      </c>
      <c r="F102" s="22">
        <f>+C102-343329</f>
        <v>284897</v>
      </c>
      <c r="G102" s="22">
        <f>+D102-311022</f>
        <v>281763</v>
      </c>
      <c r="H102" s="24">
        <f t="shared" si="36"/>
        <v>0.01112282308180989</v>
      </c>
      <c r="I102" s="25">
        <f t="shared" si="37"/>
        <v>30.534621760321922</v>
      </c>
      <c r="J102" s="25">
        <f t="shared" si="38"/>
        <v>67.3318542841799</v>
      </c>
      <c r="K102" s="22">
        <v>19182643.29</v>
      </c>
      <c r="L102" s="22">
        <v>18808231.97</v>
      </c>
      <c r="M102" s="26">
        <f t="shared" si="39"/>
        <v>0.01990677914847093</v>
      </c>
      <c r="N102" s="11"/>
      <c r="R102" s="2"/>
    </row>
    <row r="103" spans="1:18" ht="15.75" customHeight="1">
      <c r="A103" s="20"/>
      <c r="B103" s="21">
        <f>DATE(2010,10,1)</f>
        <v>40452</v>
      </c>
      <c r="C103" s="22">
        <v>648037</v>
      </c>
      <c r="D103" s="22">
        <v>641294</v>
      </c>
      <c r="E103" s="24">
        <f t="shared" si="35"/>
        <v>0.010514678135145502</v>
      </c>
      <c r="F103" s="22">
        <f>+C103-358643</f>
        <v>289394</v>
      </c>
      <c r="G103" s="22">
        <f>+D103-341319</f>
        <v>299975</v>
      </c>
      <c r="H103" s="24">
        <f t="shared" si="36"/>
        <v>-0.03527293941161763</v>
      </c>
      <c r="I103" s="25">
        <f t="shared" si="37"/>
        <v>30.69579828003648</v>
      </c>
      <c r="J103" s="25">
        <f t="shared" si="38"/>
        <v>68.73678455669433</v>
      </c>
      <c r="K103" s="22">
        <v>19892013.03</v>
      </c>
      <c r="L103" s="22">
        <v>19794713.86</v>
      </c>
      <c r="M103" s="26">
        <f t="shared" si="39"/>
        <v>0.0049154117957026025</v>
      </c>
      <c r="N103" s="11"/>
      <c r="R103" s="2"/>
    </row>
    <row r="104" spans="1:18" ht="15.75" customHeight="1">
      <c r="A104" s="20"/>
      <c r="B104" s="21">
        <f>DATE(2010,11,1)</f>
        <v>40483</v>
      </c>
      <c r="C104" s="22">
        <v>611564</v>
      </c>
      <c r="D104" s="22">
        <v>619732</v>
      </c>
      <c r="E104" s="24">
        <f t="shared" si="35"/>
        <v>-0.013179890662415367</v>
      </c>
      <c r="F104" s="22">
        <f>+C104-339571</f>
        <v>271993</v>
      </c>
      <c r="G104" s="22">
        <f>+D104-331432</f>
        <v>288300</v>
      </c>
      <c r="H104" s="24">
        <f t="shared" si="36"/>
        <v>-0.05656260839403399</v>
      </c>
      <c r="I104" s="25">
        <f t="shared" si="37"/>
        <v>30.727635243408702</v>
      </c>
      <c r="J104" s="25">
        <f t="shared" si="38"/>
        <v>69.08970274970312</v>
      </c>
      <c r="K104" s="22">
        <v>18791915.52</v>
      </c>
      <c r="L104" s="22">
        <v>19476862.95</v>
      </c>
      <c r="M104" s="26">
        <f t="shared" si="39"/>
        <v>-0.03516723569695805</v>
      </c>
      <c r="N104" s="11"/>
      <c r="R104" s="2"/>
    </row>
    <row r="105" spans="1:18" ht="15.75" customHeight="1">
      <c r="A105" s="20"/>
      <c r="B105" s="21">
        <f>DATE(2010,12,1)</f>
        <v>40513</v>
      </c>
      <c r="C105" s="22">
        <v>666304</v>
      </c>
      <c r="D105" s="22">
        <v>602145</v>
      </c>
      <c r="E105" s="24">
        <f t="shared" si="35"/>
        <v>0.1065507477434837</v>
      </c>
      <c r="F105" s="22">
        <f>+C105-372987</f>
        <v>293317</v>
      </c>
      <c r="G105" s="22">
        <f>+D105-323358</f>
        <v>278787</v>
      </c>
      <c r="H105" s="24">
        <f t="shared" si="36"/>
        <v>0.052118642547894986</v>
      </c>
      <c r="I105" s="25">
        <f t="shared" si="37"/>
        <v>31.41951277494957</v>
      </c>
      <c r="J105" s="25">
        <f t="shared" si="38"/>
        <v>71.37311182099911</v>
      </c>
      <c r="K105" s="22">
        <v>20934947.04</v>
      </c>
      <c r="L105" s="22">
        <v>18545400.35</v>
      </c>
      <c r="M105" s="26">
        <f t="shared" si="39"/>
        <v>0.1288484823677585</v>
      </c>
      <c r="N105" s="11"/>
      <c r="R105" s="2"/>
    </row>
    <row r="106" spans="1:18" ht="15.75" customHeight="1">
      <c r="A106" s="20"/>
      <c r="B106" s="21">
        <f>DATE(2011,1,1)</f>
        <v>40544</v>
      </c>
      <c r="C106" s="22">
        <v>615765</v>
      </c>
      <c r="D106" s="22">
        <v>634052</v>
      </c>
      <c r="E106" s="24">
        <f t="shared" si="35"/>
        <v>-0.028841483032937362</v>
      </c>
      <c r="F106" s="22">
        <f>+C106-349478</f>
        <v>266287</v>
      </c>
      <c r="G106" s="22">
        <f>+D106-348181</f>
        <v>285871</v>
      </c>
      <c r="H106" s="24">
        <f t="shared" si="36"/>
        <v>-0.06850642422631187</v>
      </c>
      <c r="I106" s="25">
        <f t="shared" si="37"/>
        <v>30.70879751203787</v>
      </c>
      <c r="J106" s="25">
        <f t="shared" si="38"/>
        <v>71.01136255243402</v>
      </c>
      <c r="K106" s="22">
        <v>18909402.7</v>
      </c>
      <c r="L106" s="22">
        <v>19578045.76</v>
      </c>
      <c r="M106" s="26">
        <f t="shared" si="39"/>
        <v>-0.03415269676027166</v>
      </c>
      <c r="N106" s="11"/>
      <c r="R106" s="2"/>
    </row>
    <row r="107" spans="1:18" ht="15.75" customHeight="1">
      <c r="A107" s="20"/>
      <c r="B107" s="21">
        <f>DATE(2011,2,1)</f>
        <v>40575</v>
      </c>
      <c r="C107" s="22">
        <v>570412</v>
      </c>
      <c r="D107" s="22">
        <v>588305</v>
      </c>
      <c r="E107" s="24">
        <f t="shared" si="35"/>
        <v>-0.030414495882237956</v>
      </c>
      <c r="F107" s="22">
        <f>+C107-305460</f>
        <v>264952</v>
      </c>
      <c r="G107" s="22">
        <f>+D107-316780</f>
        <v>271525</v>
      </c>
      <c r="H107" s="24">
        <f t="shared" si="36"/>
        <v>-0.024207715679955805</v>
      </c>
      <c r="I107" s="25">
        <f t="shared" si="37"/>
        <v>34.160760029592645</v>
      </c>
      <c r="J107" s="25">
        <f t="shared" si="38"/>
        <v>73.54429273981702</v>
      </c>
      <c r="K107" s="22">
        <v>19485707.45</v>
      </c>
      <c r="L107" s="22">
        <v>18898105.63</v>
      </c>
      <c r="M107" s="26">
        <f t="shared" si="39"/>
        <v>0.031093159891497565</v>
      </c>
      <c r="N107" s="11"/>
      <c r="R107" s="2"/>
    </row>
    <row r="108" spans="1:18" ht="15.75" customHeight="1">
      <c r="A108" s="20"/>
      <c r="B108" s="21">
        <f>DATE(2011,3,1)</f>
        <v>40603</v>
      </c>
      <c r="C108" s="22">
        <v>638159</v>
      </c>
      <c r="D108" s="22">
        <v>627889</v>
      </c>
      <c r="E108" s="24">
        <f t="shared" si="35"/>
        <v>0.016356394203434047</v>
      </c>
      <c r="F108" s="22">
        <f>+C108-343725</f>
        <v>294434</v>
      </c>
      <c r="G108" s="22">
        <f>+D108-333362</f>
        <v>294527</v>
      </c>
      <c r="H108" s="24">
        <f t="shared" si="36"/>
        <v>-0.0003157605245019981</v>
      </c>
      <c r="I108" s="25">
        <f t="shared" si="37"/>
        <v>33.78524055917099</v>
      </c>
      <c r="J108" s="25">
        <f t="shared" si="38"/>
        <v>73.22644575694383</v>
      </c>
      <c r="K108" s="22">
        <v>21560355.33</v>
      </c>
      <c r="L108" s="22">
        <v>19656615.07</v>
      </c>
      <c r="M108" s="26">
        <f t="shared" si="39"/>
        <v>0.09684985198217029</v>
      </c>
      <c r="N108" s="11"/>
      <c r="R108" s="2"/>
    </row>
    <row r="109" spans="1:18" ht="15.75" customHeight="1">
      <c r="A109" s="20"/>
      <c r="B109" s="21">
        <f>DATE(2011,4,1)</f>
        <v>40634</v>
      </c>
      <c r="C109" s="22">
        <v>598215</v>
      </c>
      <c r="D109" s="22">
        <v>585146</v>
      </c>
      <c r="E109" s="24">
        <f t="shared" si="35"/>
        <v>0.022334596835661528</v>
      </c>
      <c r="F109" s="22">
        <f>+C109-318355</f>
        <v>279860</v>
      </c>
      <c r="G109" s="22">
        <f>+D109-307295</f>
        <v>277851</v>
      </c>
      <c r="H109" s="24">
        <f t="shared" si="36"/>
        <v>0.007230494041770589</v>
      </c>
      <c r="I109" s="25">
        <f t="shared" si="37"/>
        <v>34.45964096520482</v>
      </c>
      <c r="J109" s="25">
        <f t="shared" si="38"/>
        <v>73.65923719002359</v>
      </c>
      <c r="K109" s="22">
        <v>20614274.12</v>
      </c>
      <c r="L109" s="22">
        <v>19434390.73</v>
      </c>
      <c r="M109" s="26">
        <f t="shared" si="39"/>
        <v>0.060711107767256495</v>
      </c>
      <c r="N109" s="11"/>
      <c r="R109" s="2"/>
    </row>
    <row r="110" spans="1:18" ht="15.75" customHeight="1" thickBot="1">
      <c r="A110" s="20"/>
      <c r="B110" s="52"/>
      <c r="C110" s="22"/>
      <c r="D110" s="22"/>
      <c r="E110" s="24"/>
      <c r="F110" s="22"/>
      <c r="G110" s="22"/>
      <c r="H110" s="24"/>
      <c r="I110" s="25"/>
      <c r="J110" s="25"/>
      <c r="K110" s="22"/>
      <c r="L110" s="22"/>
      <c r="M110" s="26"/>
      <c r="N110" s="11"/>
      <c r="R110" s="2"/>
    </row>
    <row r="111" spans="1:18" ht="17.25" thickBot="1" thickTop="1">
      <c r="A111" s="40" t="s">
        <v>14</v>
      </c>
      <c r="B111" s="41"/>
      <c r="C111" s="42">
        <f>SUM(C100:C110)</f>
        <v>6397185</v>
      </c>
      <c r="D111" s="42">
        <f>SUM(D100:D110)</f>
        <v>6211907</v>
      </c>
      <c r="E111" s="43">
        <f>(+C111-D111)/D111</f>
        <v>0.029826267521390774</v>
      </c>
      <c r="F111" s="42">
        <f>SUM(F100:F110)</f>
        <v>2888201</v>
      </c>
      <c r="G111" s="42">
        <f>SUM(G100:G110)</f>
        <v>2913014</v>
      </c>
      <c r="H111" s="44">
        <f>(+F111-G111)/G111</f>
        <v>-0.008517981719277697</v>
      </c>
      <c r="I111" s="45">
        <f>K111/C111</f>
        <v>31.49846889217679</v>
      </c>
      <c r="J111" s="45">
        <f>K111/F111</f>
        <v>69.76714318705658</v>
      </c>
      <c r="K111" s="42">
        <f>SUM(K100:K110)</f>
        <v>201501532.71999997</v>
      </c>
      <c r="L111" s="42">
        <f>SUM(L100:L110)</f>
        <v>196503354.18999997</v>
      </c>
      <c r="M111" s="46">
        <f>(+K111-L111)/L111</f>
        <v>0.025435588876346813</v>
      </c>
      <c r="N111" s="11"/>
      <c r="R111" s="2"/>
    </row>
    <row r="112" spans="1:18" ht="15.75" customHeight="1" thickTop="1">
      <c r="A112" s="62"/>
      <c r="B112" s="63"/>
      <c r="C112" s="63"/>
      <c r="D112" s="63"/>
      <c r="E112" s="64"/>
      <c r="F112" s="63"/>
      <c r="G112" s="63"/>
      <c r="H112" s="64"/>
      <c r="I112" s="63"/>
      <c r="J112" s="63"/>
      <c r="K112" s="219"/>
      <c r="L112" s="219"/>
      <c r="M112" s="65"/>
      <c r="N112" s="11"/>
      <c r="R112" s="2"/>
    </row>
    <row r="113" spans="1:18" ht="15.75" customHeight="1">
      <c r="A113" s="20" t="s">
        <v>65</v>
      </c>
      <c r="B113" s="21">
        <f>DATE(2010,7,1)</f>
        <v>40360</v>
      </c>
      <c r="C113" s="22">
        <v>556471</v>
      </c>
      <c r="D113" s="22">
        <v>0</v>
      </c>
      <c r="E113" s="24">
        <v>0</v>
      </c>
      <c r="F113" s="22">
        <f>+C113-270261</f>
        <v>286210</v>
      </c>
      <c r="G113" s="22">
        <v>0</v>
      </c>
      <c r="H113" s="24">
        <v>0</v>
      </c>
      <c r="I113" s="25">
        <f aca="true" t="shared" si="40" ref="I113:I122">K113/C113</f>
        <v>26.85472623011801</v>
      </c>
      <c r="J113" s="25">
        <f aca="true" t="shared" si="41" ref="J113:J122">K113/F113</f>
        <v>52.21297774361483</v>
      </c>
      <c r="K113" s="22">
        <v>14943876.36</v>
      </c>
      <c r="L113" s="22">
        <v>0</v>
      </c>
      <c r="M113" s="26">
        <v>0</v>
      </c>
      <c r="N113" s="11"/>
      <c r="R113" s="2"/>
    </row>
    <row r="114" spans="1:18" ht="15.75" customHeight="1">
      <c r="A114" s="20"/>
      <c r="B114" s="21">
        <f>DATE(2010,8,1)</f>
        <v>40391</v>
      </c>
      <c r="C114" s="22">
        <v>560447</v>
      </c>
      <c r="D114" s="22">
        <v>0</v>
      </c>
      <c r="E114" s="24">
        <v>0</v>
      </c>
      <c r="F114" s="22">
        <f>+C114-267200</f>
        <v>293247</v>
      </c>
      <c r="G114" s="22">
        <v>0</v>
      </c>
      <c r="H114" s="24">
        <v>0</v>
      </c>
      <c r="I114" s="25">
        <f t="shared" si="40"/>
        <v>26.477050800521724</v>
      </c>
      <c r="J114" s="25">
        <f t="shared" si="41"/>
        <v>50.60233758572125</v>
      </c>
      <c r="K114" s="22">
        <v>14838983.69</v>
      </c>
      <c r="L114" s="22">
        <v>0</v>
      </c>
      <c r="M114" s="26">
        <v>0</v>
      </c>
      <c r="N114" s="11"/>
      <c r="R114" s="2"/>
    </row>
    <row r="115" spans="1:18" ht="15.75" customHeight="1">
      <c r="A115" s="20"/>
      <c r="B115" s="21">
        <f>DATE(2010,9,1)</f>
        <v>40422</v>
      </c>
      <c r="C115" s="22">
        <v>527675</v>
      </c>
      <c r="D115" s="22">
        <v>0</v>
      </c>
      <c r="E115" s="24">
        <v>0</v>
      </c>
      <c r="F115" s="22">
        <f>+C115-255170</f>
        <v>272505</v>
      </c>
      <c r="G115" s="22">
        <v>0</v>
      </c>
      <c r="H115" s="24">
        <v>0</v>
      </c>
      <c r="I115" s="25">
        <f t="shared" si="40"/>
        <v>26.996319685412423</v>
      </c>
      <c r="J115" s="25">
        <f t="shared" si="41"/>
        <v>52.27530867323535</v>
      </c>
      <c r="K115" s="22">
        <v>14245282.99</v>
      </c>
      <c r="L115" s="22">
        <v>0</v>
      </c>
      <c r="M115" s="26">
        <v>0</v>
      </c>
      <c r="N115" s="11"/>
      <c r="R115" s="2"/>
    </row>
    <row r="116" spans="1:18" ht="15.75" customHeight="1">
      <c r="A116" s="20"/>
      <c r="B116" s="21">
        <f>DATE(2010,10,1)</f>
        <v>40452</v>
      </c>
      <c r="C116" s="22">
        <v>522481</v>
      </c>
      <c r="D116" s="22">
        <v>0</v>
      </c>
      <c r="E116" s="24">
        <v>0</v>
      </c>
      <c r="F116" s="22">
        <f>+C116-255026</f>
        <v>267455</v>
      </c>
      <c r="G116" s="22">
        <v>0</v>
      </c>
      <c r="H116" s="24">
        <v>0</v>
      </c>
      <c r="I116" s="25">
        <f t="shared" si="40"/>
        <v>27.53822318897721</v>
      </c>
      <c r="J116" s="25">
        <f t="shared" si="41"/>
        <v>53.796707446112435</v>
      </c>
      <c r="K116" s="22">
        <v>14388198.39</v>
      </c>
      <c r="L116" s="22">
        <v>0</v>
      </c>
      <c r="M116" s="26">
        <v>0</v>
      </c>
      <c r="N116" s="11"/>
      <c r="R116" s="2"/>
    </row>
    <row r="117" spans="1:18" ht="15.75" customHeight="1">
      <c r="A117" s="20"/>
      <c r="B117" s="21">
        <f>DATE(2010,11,1)</f>
        <v>40483</v>
      </c>
      <c r="C117" s="22">
        <v>471163</v>
      </c>
      <c r="D117" s="22">
        <v>0</v>
      </c>
      <c r="E117" s="24">
        <v>0</v>
      </c>
      <c r="F117" s="22">
        <f>+C117-234648</f>
        <v>236515</v>
      </c>
      <c r="G117" s="22">
        <v>0</v>
      </c>
      <c r="H117" s="24">
        <v>0</v>
      </c>
      <c r="I117" s="25">
        <f t="shared" si="40"/>
        <v>28.667739317391224</v>
      </c>
      <c r="J117" s="25">
        <f t="shared" si="41"/>
        <v>57.10918148954612</v>
      </c>
      <c r="K117" s="22">
        <v>13507178.06</v>
      </c>
      <c r="L117" s="22">
        <v>0</v>
      </c>
      <c r="M117" s="26">
        <v>0</v>
      </c>
      <c r="N117" s="11"/>
      <c r="R117" s="2"/>
    </row>
    <row r="118" spans="1:18" ht="15.75" customHeight="1">
      <c r="A118" s="20"/>
      <c r="B118" s="21">
        <f>DATE(2010,12,1)</f>
        <v>40513</v>
      </c>
      <c r="C118" s="22">
        <v>489355</v>
      </c>
      <c r="D118" s="22">
        <v>0</v>
      </c>
      <c r="E118" s="24">
        <v>0</v>
      </c>
      <c r="F118" s="22">
        <f>+C118-243637</f>
        <v>245718</v>
      </c>
      <c r="G118" s="22">
        <v>0</v>
      </c>
      <c r="H118" s="24">
        <v>0</v>
      </c>
      <c r="I118" s="25">
        <f t="shared" si="40"/>
        <v>28.02838487396675</v>
      </c>
      <c r="J118" s="25">
        <f t="shared" si="41"/>
        <v>55.81939573006454</v>
      </c>
      <c r="K118" s="22">
        <v>13715830.28</v>
      </c>
      <c r="L118" s="22">
        <v>0</v>
      </c>
      <c r="M118" s="26">
        <v>0</v>
      </c>
      <c r="N118" s="11"/>
      <c r="R118" s="2"/>
    </row>
    <row r="119" spans="1:18" ht="15.75" customHeight="1">
      <c r="A119" s="20"/>
      <c r="B119" s="21">
        <f>DATE(2011,1,1)</f>
        <v>40544</v>
      </c>
      <c r="C119" s="22">
        <v>508311</v>
      </c>
      <c r="D119" s="22">
        <v>0</v>
      </c>
      <c r="E119" s="24">
        <v>0</v>
      </c>
      <c r="F119" s="22">
        <f>+C119-256874</f>
        <v>251437</v>
      </c>
      <c r="G119" s="22">
        <v>0</v>
      </c>
      <c r="H119" s="24">
        <v>0</v>
      </c>
      <c r="I119" s="25">
        <f t="shared" si="40"/>
        <v>28.397090678738017</v>
      </c>
      <c r="J119" s="25">
        <f t="shared" si="41"/>
        <v>57.40823172405016</v>
      </c>
      <c r="K119" s="22">
        <v>14434553.56</v>
      </c>
      <c r="L119" s="22">
        <v>0</v>
      </c>
      <c r="M119" s="26">
        <v>0</v>
      </c>
      <c r="N119" s="11"/>
      <c r="R119" s="2"/>
    </row>
    <row r="120" spans="1:18" ht="15.75" customHeight="1">
      <c r="A120" s="20"/>
      <c r="B120" s="21">
        <f>DATE(2011,2,1)</f>
        <v>40575</v>
      </c>
      <c r="C120" s="22">
        <v>519036</v>
      </c>
      <c r="D120" s="22">
        <v>0</v>
      </c>
      <c r="E120" s="24">
        <v>0</v>
      </c>
      <c r="F120" s="22">
        <f>+C120-263342</f>
        <v>255694</v>
      </c>
      <c r="G120" s="22">
        <v>0</v>
      </c>
      <c r="H120" s="24">
        <v>0</v>
      </c>
      <c r="I120" s="25">
        <f t="shared" si="40"/>
        <v>28.412023828790293</v>
      </c>
      <c r="J120" s="25">
        <f t="shared" si="41"/>
        <v>57.67387267593295</v>
      </c>
      <c r="K120" s="22">
        <v>14746863.2</v>
      </c>
      <c r="L120" s="22">
        <v>0</v>
      </c>
      <c r="M120" s="26">
        <v>0</v>
      </c>
      <c r="N120" s="11"/>
      <c r="R120" s="2"/>
    </row>
    <row r="121" spans="1:18" ht="15.75" customHeight="1">
      <c r="A121" s="20"/>
      <c r="B121" s="21">
        <f>DATE(2011,3,1)</f>
        <v>40603</v>
      </c>
      <c r="C121" s="22">
        <v>585645</v>
      </c>
      <c r="D121" s="22">
        <v>754614</v>
      </c>
      <c r="E121" s="24">
        <f>(+C121-D121)/D121</f>
        <v>-0.2239144781305409</v>
      </c>
      <c r="F121" s="22">
        <f>+C121-294998</f>
        <v>290647</v>
      </c>
      <c r="G121" s="22">
        <f>+D121-352895</f>
        <v>401719</v>
      </c>
      <c r="H121" s="24">
        <f>(+F121-G121)/G121</f>
        <v>-0.27649177659010404</v>
      </c>
      <c r="I121" s="25">
        <f t="shared" si="40"/>
        <v>29.247409778961657</v>
      </c>
      <c r="J121" s="25">
        <f t="shared" si="41"/>
        <v>58.93265473237295</v>
      </c>
      <c r="K121" s="22">
        <v>17128599.3</v>
      </c>
      <c r="L121" s="22">
        <v>15941155.63</v>
      </c>
      <c r="M121" s="26">
        <f>(+K121-L121)/L121</f>
        <v>0.07448918369288889</v>
      </c>
      <c r="N121" s="11"/>
      <c r="R121" s="2"/>
    </row>
    <row r="122" spans="1:18" ht="15.75" customHeight="1">
      <c r="A122" s="20"/>
      <c r="B122" s="21">
        <f>DATE(2011,4,1)</f>
        <v>40634</v>
      </c>
      <c r="C122" s="22">
        <v>541247</v>
      </c>
      <c r="D122" s="22">
        <v>511855</v>
      </c>
      <c r="E122" s="24">
        <f>(+C122-D122)/D122</f>
        <v>0.05742251223491028</v>
      </c>
      <c r="F122" s="22">
        <f>+C122-272781</f>
        <v>268466</v>
      </c>
      <c r="G122" s="22">
        <f>+D122-248149</f>
        <v>263706</v>
      </c>
      <c r="H122" s="24">
        <f>(+F122-G122)/G122</f>
        <v>0.018050404617263163</v>
      </c>
      <c r="I122" s="25">
        <f t="shared" si="40"/>
        <v>30.07892913956105</v>
      </c>
      <c r="J122" s="25">
        <f t="shared" si="41"/>
        <v>60.64131085500585</v>
      </c>
      <c r="K122" s="22">
        <v>16280130.16</v>
      </c>
      <c r="L122" s="22">
        <v>12971408.16</v>
      </c>
      <c r="M122" s="26">
        <f>(+K122-L122)/L122</f>
        <v>0.25507808860745923</v>
      </c>
      <c r="N122" s="11"/>
      <c r="R122" s="2"/>
    </row>
    <row r="123" spans="1:18" ht="15.75" customHeight="1" thickBot="1">
      <c r="A123" s="20"/>
      <c r="B123" s="52"/>
      <c r="C123" s="22"/>
      <c r="D123" s="22"/>
      <c r="E123" s="24"/>
      <c r="F123" s="22"/>
      <c r="G123" s="22"/>
      <c r="H123" s="24"/>
      <c r="I123" s="25"/>
      <c r="J123" s="25"/>
      <c r="K123" s="22"/>
      <c r="L123" s="22"/>
      <c r="M123" s="26"/>
      <c r="N123" s="11"/>
      <c r="R123" s="2"/>
    </row>
    <row r="124" spans="1:18" ht="17.25" thickBot="1" thickTop="1">
      <c r="A124" s="40" t="s">
        <v>14</v>
      </c>
      <c r="B124" s="41"/>
      <c r="C124" s="42">
        <f>SUM(C113:C123)</f>
        <v>5281831</v>
      </c>
      <c r="D124" s="42">
        <f>SUM(D113:D123)</f>
        <v>1266469</v>
      </c>
      <c r="E124" s="43">
        <f>(+C124-D124)/D124</f>
        <v>3.1705173991625535</v>
      </c>
      <c r="F124" s="42">
        <f>SUM(F113:F123)</f>
        <v>2667894</v>
      </c>
      <c r="G124" s="42">
        <f>SUM(G113:G123)</f>
        <v>665425</v>
      </c>
      <c r="H124" s="44">
        <f>(+F124-G124)/G124</f>
        <v>3.0093083367772477</v>
      </c>
      <c r="I124" s="45">
        <f>K124/C124</f>
        <v>28.064036124972574</v>
      </c>
      <c r="J124" s="45">
        <f>K124/F124</f>
        <v>55.560489281058395</v>
      </c>
      <c r="K124" s="42">
        <f>SUM(K113:K123)</f>
        <v>148229495.99</v>
      </c>
      <c r="L124" s="42">
        <f>SUM(L113:L123)</f>
        <v>28912563.79</v>
      </c>
      <c r="M124" s="46">
        <f>(+K124-L124)/L124</f>
        <v>4.126819505410593</v>
      </c>
      <c r="N124" s="11"/>
      <c r="R124" s="2"/>
    </row>
    <row r="125" spans="1:18" ht="15.75" thickTop="1">
      <c r="A125" s="62"/>
      <c r="B125" s="63"/>
      <c r="C125" s="63"/>
      <c r="D125" s="63"/>
      <c r="E125" s="64"/>
      <c r="F125" s="63"/>
      <c r="G125" s="63"/>
      <c r="H125" s="64"/>
      <c r="I125" s="63"/>
      <c r="J125" s="63"/>
      <c r="K125" s="219"/>
      <c r="L125" s="219"/>
      <c r="M125" s="65"/>
      <c r="N125" s="11"/>
      <c r="R125" s="2"/>
    </row>
    <row r="126" spans="1:18" ht="15.75">
      <c r="A126" s="20" t="s">
        <v>62</v>
      </c>
      <c r="B126" s="21">
        <f>DATE(2010,7,1)</f>
        <v>40360</v>
      </c>
      <c r="C126" s="22">
        <v>0</v>
      </c>
      <c r="D126" s="22">
        <v>111721</v>
      </c>
      <c r="E126" s="24">
        <f aca="true" t="shared" si="42" ref="E126:E135">(+C126-D126)/D126</f>
        <v>-1</v>
      </c>
      <c r="F126" s="22">
        <v>0</v>
      </c>
      <c r="G126" s="22">
        <f>+D126-55194</f>
        <v>56527</v>
      </c>
      <c r="H126" s="24">
        <f aca="true" t="shared" si="43" ref="H126:H131">(+F126-G126)/G126</f>
        <v>-1</v>
      </c>
      <c r="I126" s="25">
        <v>0</v>
      </c>
      <c r="J126" s="25">
        <v>0</v>
      </c>
      <c r="K126" s="22">
        <v>0</v>
      </c>
      <c r="L126" s="22">
        <v>1971474.67</v>
      </c>
      <c r="M126" s="26">
        <f aca="true" t="shared" si="44" ref="M126:M135">(+K126-L126)/L126</f>
        <v>-1</v>
      </c>
      <c r="N126" s="11"/>
      <c r="R126" s="2"/>
    </row>
    <row r="127" spans="1:18" ht="15.75">
      <c r="A127" s="20"/>
      <c r="B127" s="21">
        <f>DATE(2010,8,1)</f>
        <v>40391</v>
      </c>
      <c r="C127" s="22">
        <v>0</v>
      </c>
      <c r="D127" s="22">
        <v>106865</v>
      </c>
      <c r="E127" s="24">
        <f t="shared" si="42"/>
        <v>-1</v>
      </c>
      <c r="F127" s="22">
        <v>0</v>
      </c>
      <c r="G127" s="22">
        <f>+D127-50711</f>
        <v>56154</v>
      </c>
      <c r="H127" s="24">
        <f t="shared" si="43"/>
        <v>-1</v>
      </c>
      <c r="I127" s="25">
        <v>0</v>
      </c>
      <c r="J127" s="25">
        <v>0</v>
      </c>
      <c r="K127" s="22">
        <v>0</v>
      </c>
      <c r="L127" s="22">
        <v>1907562.13</v>
      </c>
      <c r="M127" s="26">
        <f t="shared" si="44"/>
        <v>-1</v>
      </c>
      <c r="N127" s="11"/>
      <c r="R127" s="2"/>
    </row>
    <row r="128" spans="1:18" ht="15.75">
      <c r="A128" s="20"/>
      <c r="B128" s="21">
        <f>DATE(2010,9,1)</f>
        <v>40422</v>
      </c>
      <c r="C128" s="22">
        <v>0</v>
      </c>
      <c r="D128" s="22">
        <v>93754</v>
      </c>
      <c r="E128" s="24">
        <f t="shared" si="42"/>
        <v>-1</v>
      </c>
      <c r="F128" s="22">
        <v>0</v>
      </c>
      <c r="G128" s="22">
        <f>+D128-43110</f>
        <v>50644</v>
      </c>
      <c r="H128" s="24">
        <f t="shared" si="43"/>
        <v>-1</v>
      </c>
      <c r="I128" s="25">
        <v>0</v>
      </c>
      <c r="J128" s="25">
        <v>0</v>
      </c>
      <c r="K128" s="22">
        <v>0</v>
      </c>
      <c r="L128" s="22">
        <v>1778838.41</v>
      </c>
      <c r="M128" s="26">
        <f t="shared" si="44"/>
        <v>-1</v>
      </c>
      <c r="N128" s="11"/>
      <c r="R128" s="2"/>
    </row>
    <row r="129" spans="1:18" ht="15.75">
      <c r="A129" s="20"/>
      <c r="B129" s="21">
        <f>DATE(2010,10,1)</f>
        <v>40452</v>
      </c>
      <c r="C129" s="22">
        <v>0</v>
      </c>
      <c r="D129" s="22">
        <v>94660</v>
      </c>
      <c r="E129" s="24">
        <f t="shared" si="42"/>
        <v>-1</v>
      </c>
      <c r="F129" s="22">
        <v>0</v>
      </c>
      <c r="G129" s="22">
        <f>+D129-45549</f>
        <v>49111</v>
      </c>
      <c r="H129" s="24">
        <f t="shared" si="43"/>
        <v>-1</v>
      </c>
      <c r="I129" s="25">
        <v>0</v>
      </c>
      <c r="J129" s="25">
        <v>0</v>
      </c>
      <c r="K129" s="22">
        <v>0</v>
      </c>
      <c r="L129" s="22">
        <v>1866548.83</v>
      </c>
      <c r="M129" s="26">
        <f t="shared" si="44"/>
        <v>-1</v>
      </c>
      <c r="N129" s="11"/>
      <c r="R129" s="2"/>
    </row>
    <row r="130" spans="1:18" ht="15.75">
      <c r="A130" s="20"/>
      <c r="B130" s="21">
        <f>DATE(2010,11,1)</f>
        <v>40483</v>
      </c>
      <c r="C130" s="22">
        <v>0</v>
      </c>
      <c r="D130" s="22">
        <v>81356</v>
      </c>
      <c r="E130" s="24">
        <f t="shared" si="42"/>
        <v>-1</v>
      </c>
      <c r="F130" s="22">
        <v>0</v>
      </c>
      <c r="G130" s="22">
        <f>+D130-39249</f>
        <v>42107</v>
      </c>
      <c r="H130" s="24">
        <f t="shared" si="43"/>
        <v>-1</v>
      </c>
      <c r="I130" s="25">
        <v>0</v>
      </c>
      <c r="J130" s="25">
        <v>0</v>
      </c>
      <c r="K130" s="22">
        <v>0</v>
      </c>
      <c r="L130" s="22">
        <v>1464401.58</v>
      </c>
      <c r="M130" s="26">
        <f t="shared" si="44"/>
        <v>-1</v>
      </c>
      <c r="N130" s="11"/>
      <c r="R130" s="2"/>
    </row>
    <row r="131" spans="1:18" ht="15.75">
      <c r="A131" s="20"/>
      <c r="B131" s="21">
        <f>DATE(2010,12,1)</f>
        <v>40513</v>
      </c>
      <c r="C131" s="22">
        <v>0</v>
      </c>
      <c r="D131" s="22">
        <v>86773</v>
      </c>
      <c r="E131" s="24">
        <f t="shared" si="42"/>
        <v>-1</v>
      </c>
      <c r="F131" s="22">
        <v>0</v>
      </c>
      <c r="G131" s="22">
        <f>+D131-42863</f>
        <v>43910</v>
      </c>
      <c r="H131" s="24">
        <f t="shared" si="43"/>
        <v>-1</v>
      </c>
      <c r="I131" s="25">
        <v>0</v>
      </c>
      <c r="J131" s="25">
        <v>0</v>
      </c>
      <c r="K131" s="22">
        <v>0</v>
      </c>
      <c r="L131" s="22">
        <v>1777148.81</v>
      </c>
      <c r="M131" s="26">
        <f t="shared" si="44"/>
        <v>-1</v>
      </c>
      <c r="N131" s="11"/>
      <c r="R131" s="2"/>
    </row>
    <row r="132" spans="1:18" ht="15.75">
      <c r="A132" s="20"/>
      <c r="B132" s="21">
        <f>DATE(2011,1,1)</f>
        <v>40544</v>
      </c>
      <c r="C132" s="22">
        <v>0</v>
      </c>
      <c r="D132" s="22">
        <v>94131</v>
      </c>
      <c r="E132" s="24">
        <f t="shared" si="42"/>
        <v>-1</v>
      </c>
      <c r="F132" s="22">
        <v>0</v>
      </c>
      <c r="G132" s="22">
        <f>+D132-47430</f>
        <v>46701</v>
      </c>
      <c r="H132" s="24">
        <f>(+F132-G132)/G132</f>
        <v>-1</v>
      </c>
      <c r="I132" s="25">
        <v>0</v>
      </c>
      <c r="J132" s="25">
        <v>0</v>
      </c>
      <c r="K132" s="22">
        <v>0</v>
      </c>
      <c r="L132" s="22">
        <v>1990722.97</v>
      </c>
      <c r="M132" s="26">
        <f t="shared" si="44"/>
        <v>-1</v>
      </c>
      <c r="N132" s="11"/>
      <c r="R132" s="2"/>
    </row>
    <row r="133" spans="1:18" ht="15.75">
      <c r="A133" s="20"/>
      <c r="B133" s="21">
        <f>DATE(2011,2,1)</f>
        <v>40575</v>
      </c>
      <c r="C133" s="22">
        <v>0</v>
      </c>
      <c r="D133" s="22">
        <v>86331</v>
      </c>
      <c r="E133" s="24">
        <f t="shared" si="42"/>
        <v>-1</v>
      </c>
      <c r="F133" s="22">
        <v>0</v>
      </c>
      <c r="G133" s="22">
        <f>+D133-44188</f>
        <v>42143</v>
      </c>
      <c r="H133" s="24">
        <f>(+F133-G133)/G133</f>
        <v>-1</v>
      </c>
      <c r="I133" s="25">
        <v>0</v>
      </c>
      <c r="J133" s="25">
        <v>0</v>
      </c>
      <c r="K133" s="22">
        <v>0</v>
      </c>
      <c r="L133" s="22">
        <v>1996332.11</v>
      </c>
      <c r="M133" s="26">
        <f t="shared" si="44"/>
        <v>-1</v>
      </c>
      <c r="N133" s="11"/>
      <c r="R133" s="2"/>
    </row>
    <row r="134" spans="1:18" ht="15.75">
      <c r="A134" s="20"/>
      <c r="B134" s="21">
        <f>DATE(2011,3,1)</f>
        <v>40603</v>
      </c>
      <c r="C134" s="22">
        <v>0</v>
      </c>
      <c r="D134" s="22">
        <v>77387</v>
      </c>
      <c r="E134" s="24">
        <f t="shared" si="42"/>
        <v>-1</v>
      </c>
      <c r="F134" s="22">
        <v>0</v>
      </c>
      <c r="G134" s="22">
        <f>+D134-38441</f>
        <v>38946</v>
      </c>
      <c r="H134" s="24">
        <f>(+F134-G134)/G134</f>
        <v>-1</v>
      </c>
      <c r="I134" s="25">
        <v>0</v>
      </c>
      <c r="J134" s="25">
        <v>0</v>
      </c>
      <c r="K134" s="22">
        <v>0</v>
      </c>
      <c r="L134" s="22">
        <v>1494223.48</v>
      </c>
      <c r="M134" s="26">
        <f t="shared" si="44"/>
        <v>-1</v>
      </c>
      <c r="N134" s="11"/>
      <c r="R134" s="2"/>
    </row>
    <row r="135" spans="1:18" ht="15.75">
      <c r="A135" s="20"/>
      <c r="B135" s="21">
        <f>DATE(2011,4,1)</f>
        <v>40634</v>
      </c>
      <c r="C135" s="22">
        <v>0</v>
      </c>
      <c r="D135" s="22">
        <v>77129</v>
      </c>
      <c r="E135" s="24">
        <f t="shared" si="42"/>
        <v>-1</v>
      </c>
      <c r="F135" s="22">
        <v>0</v>
      </c>
      <c r="G135" s="22">
        <f>+D135-35190</f>
        <v>41939</v>
      </c>
      <c r="H135" s="24">
        <f>(+F135-G135)/G135</f>
        <v>-1</v>
      </c>
      <c r="I135" s="25">
        <v>0</v>
      </c>
      <c r="J135" s="25">
        <v>0</v>
      </c>
      <c r="K135" s="22">
        <v>0</v>
      </c>
      <c r="L135" s="22">
        <v>1436618.33</v>
      </c>
      <c r="M135" s="26">
        <f t="shared" si="44"/>
        <v>-1</v>
      </c>
      <c r="N135" s="11"/>
      <c r="R135" s="2"/>
    </row>
    <row r="136" spans="1:18" ht="15" customHeight="1" thickBot="1">
      <c r="A136" s="39"/>
      <c r="B136" s="21"/>
      <c r="C136" s="22"/>
      <c r="D136" s="22"/>
      <c r="E136" s="24"/>
      <c r="F136" s="22"/>
      <c r="G136" s="22"/>
      <c r="H136" s="24"/>
      <c r="I136" s="25"/>
      <c r="J136" s="25"/>
      <c r="K136" s="22"/>
      <c r="L136" s="22"/>
      <c r="M136" s="26"/>
      <c r="N136" s="11"/>
      <c r="R136" s="2"/>
    </row>
    <row r="137" spans="1:18" ht="15" customHeight="1" thickBot="1" thickTop="1">
      <c r="A137" s="40" t="s">
        <v>14</v>
      </c>
      <c r="B137" s="60"/>
      <c r="C137" s="55">
        <f>SUM(C126:C136)</f>
        <v>0</v>
      </c>
      <c r="D137" s="55">
        <f>SUM(D126:D136)</f>
        <v>910107</v>
      </c>
      <c r="E137" s="66">
        <f>(+C137-D137)/D137</f>
        <v>-1</v>
      </c>
      <c r="F137" s="55">
        <f>SUM(F126:F136)</f>
        <v>0</v>
      </c>
      <c r="G137" s="55">
        <f>SUM(G126:G136)</f>
        <v>468182</v>
      </c>
      <c r="H137" s="56">
        <f>(+F137-G137)/G137</f>
        <v>-1</v>
      </c>
      <c r="I137" s="57">
        <v>0</v>
      </c>
      <c r="J137" s="58">
        <v>0</v>
      </c>
      <c r="K137" s="54">
        <f>SUM(K126:K136)</f>
        <v>0</v>
      </c>
      <c r="L137" s="54">
        <f>SUM(L126:L136)</f>
        <v>17683871.32</v>
      </c>
      <c r="M137" s="46">
        <f>(+K137-L137)/L137</f>
        <v>-1</v>
      </c>
      <c r="N137" s="11"/>
      <c r="R137" s="2"/>
    </row>
    <row r="138" spans="1:18" ht="15" customHeight="1" thickTop="1">
      <c r="A138" s="67"/>
      <c r="B138" s="68"/>
      <c r="C138" s="68"/>
      <c r="D138" s="68"/>
      <c r="E138" s="69"/>
      <c r="F138" s="68"/>
      <c r="G138" s="68"/>
      <c r="H138" s="69"/>
      <c r="I138" s="68"/>
      <c r="J138" s="68"/>
      <c r="K138" s="220"/>
      <c r="L138" s="220"/>
      <c r="M138" s="70"/>
      <c r="N138" s="11"/>
      <c r="R138" s="2"/>
    </row>
    <row r="139" spans="1:18" ht="15" customHeight="1">
      <c r="A139" s="20" t="s">
        <v>57</v>
      </c>
      <c r="B139" s="21">
        <f>DATE(2010,7,1)</f>
        <v>40360</v>
      </c>
      <c r="C139" s="22">
        <v>110506</v>
      </c>
      <c r="D139" s="22">
        <v>111319</v>
      </c>
      <c r="E139" s="24">
        <f aca="true" t="shared" si="45" ref="E139:E148">(+C139-D139)/D139</f>
        <v>-0.007303335459355546</v>
      </c>
      <c r="F139" s="22">
        <f>+C139-57352</f>
        <v>53154</v>
      </c>
      <c r="G139" s="22">
        <f>+D139-58462</f>
        <v>52857</v>
      </c>
      <c r="H139" s="24">
        <f aca="true" t="shared" si="46" ref="H139:H148">(+F139-G139)/G139</f>
        <v>0.005618934105227311</v>
      </c>
      <c r="I139" s="25">
        <f aca="true" t="shared" si="47" ref="I139:I148">K139/C139</f>
        <v>30.168591388702875</v>
      </c>
      <c r="J139" s="25">
        <f aca="true" t="shared" si="48" ref="J139:J148">K139/F139</f>
        <v>62.71983971102833</v>
      </c>
      <c r="K139" s="22">
        <v>3333810.36</v>
      </c>
      <c r="L139" s="22">
        <v>3223098.3</v>
      </c>
      <c r="M139" s="26">
        <f aca="true" t="shared" si="49" ref="M139:M148">(+K139-L139)/L139</f>
        <v>0.03434957599648762</v>
      </c>
      <c r="N139" s="11"/>
      <c r="R139" s="2"/>
    </row>
    <row r="140" spans="1:18" ht="15" customHeight="1">
      <c r="A140" s="20"/>
      <c r="B140" s="21">
        <f>DATE(2010,8,1)</f>
        <v>40391</v>
      </c>
      <c r="C140" s="22">
        <v>100359</v>
      </c>
      <c r="D140" s="22">
        <v>105452</v>
      </c>
      <c r="E140" s="24">
        <f t="shared" si="45"/>
        <v>-0.048296855441338236</v>
      </c>
      <c r="F140" s="22">
        <f>+C140-51839</f>
        <v>48520</v>
      </c>
      <c r="G140" s="22">
        <f>+D140-54826</f>
        <v>50626</v>
      </c>
      <c r="H140" s="24">
        <f t="shared" si="46"/>
        <v>-0.04159917828783629</v>
      </c>
      <c r="I140" s="25">
        <f t="shared" si="47"/>
        <v>30.092169910023017</v>
      </c>
      <c r="J140" s="25">
        <f t="shared" si="48"/>
        <v>62.24278812860676</v>
      </c>
      <c r="K140" s="22">
        <v>3020020.08</v>
      </c>
      <c r="L140" s="22">
        <v>2979974.74</v>
      </c>
      <c r="M140" s="26">
        <f t="shared" si="49"/>
        <v>0.013438147465639205</v>
      </c>
      <c r="N140" s="11"/>
      <c r="R140" s="2"/>
    </row>
    <row r="141" spans="1:18" ht="15" customHeight="1">
      <c r="A141" s="20"/>
      <c r="B141" s="21">
        <f>DATE(2010,9,1)</f>
        <v>40422</v>
      </c>
      <c r="C141" s="22">
        <v>98495</v>
      </c>
      <c r="D141" s="22">
        <v>101032</v>
      </c>
      <c r="E141" s="24">
        <f t="shared" si="45"/>
        <v>-0.02511085596642648</v>
      </c>
      <c r="F141" s="22">
        <f>+C141-51670</f>
        <v>46825</v>
      </c>
      <c r="G141" s="22">
        <f>+D141-52373</f>
        <v>48659</v>
      </c>
      <c r="H141" s="24">
        <f t="shared" si="46"/>
        <v>-0.03769086910951725</v>
      </c>
      <c r="I141" s="25">
        <f t="shared" si="47"/>
        <v>31.793648510076654</v>
      </c>
      <c r="J141" s="25">
        <f t="shared" si="48"/>
        <v>66.87699754404699</v>
      </c>
      <c r="K141" s="22">
        <v>3131515.41</v>
      </c>
      <c r="L141" s="22">
        <v>2952250.32</v>
      </c>
      <c r="M141" s="26">
        <f t="shared" si="49"/>
        <v>0.06072150751769597</v>
      </c>
      <c r="N141" s="11"/>
      <c r="R141" s="2"/>
    </row>
    <row r="142" spans="1:18" ht="15" customHeight="1">
      <c r="A142" s="20"/>
      <c r="B142" s="21">
        <f>DATE(2010,10,1)</f>
        <v>40452</v>
      </c>
      <c r="C142" s="22">
        <v>102552</v>
      </c>
      <c r="D142" s="22">
        <v>104954</v>
      </c>
      <c r="E142" s="24">
        <f t="shared" si="45"/>
        <v>-0.022886216818796806</v>
      </c>
      <c r="F142" s="22">
        <f>+C142-53414</f>
        <v>49138</v>
      </c>
      <c r="G142" s="22">
        <f>+D142-55063</f>
        <v>49891</v>
      </c>
      <c r="H142" s="24">
        <f t="shared" si="46"/>
        <v>-0.015092902527509972</v>
      </c>
      <c r="I142" s="25">
        <f t="shared" si="47"/>
        <v>31.511507430376785</v>
      </c>
      <c r="J142" s="25">
        <f t="shared" si="48"/>
        <v>65.76515344539867</v>
      </c>
      <c r="K142" s="22">
        <v>3231568.11</v>
      </c>
      <c r="L142" s="22">
        <v>3002004.62</v>
      </c>
      <c r="M142" s="26">
        <f t="shared" si="49"/>
        <v>0.0764700655257485</v>
      </c>
      <c r="N142" s="11"/>
      <c r="R142" s="2"/>
    </row>
    <row r="143" spans="1:18" ht="15" customHeight="1">
      <c r="A143" s="20"/>
      <c r="B143" s="21">
        <f>DATE(2010,11,1)</f>
        <v>40483</v>
      </c>
      <c r="C143" s="22">
        <v>91663</v>
      </c>
      <c r="D143" s="22">
        <v>95916</v>
      </c>
      <c r="E143" s="24">
        <f t="shared" si="45"/>
        <v>-0.04434088160473748</v>
      </c>
      <c r="F143" s="22">
        <f>+C143-48241</f>
        <v>43422</v>
      </c>
      <c r="G143" s="22">
        <f>+D143-50650</f>
        <v>45266</v>
      </c>
      <c r="H143" s="24">
        <f t="shared" si="46"/>
        <v>-0.04073697698051518</v>
      </c>
      <c r="I143" s="25">
        <f t="shared" si="47"/>
        <v>32.342776801981174</v>
      </c>
      <c r="J143" s="25">
        <f t="shared" si="48"/>
        <v>68.27497466721938</v>
      </c>
      <c r="K143" s="22">
        <v>2964635.95</v>
      </c>
      <c r="L143" s="22">
        <v>2984673.73</v>
      </c>
      <c r="M143" s="26">
        <f t="shared" si="49"/>
        <v>-0.006713557933851548</v>
      </c>
      <c r="N143" s="11"/>
      <c r="R143" s="2"/>
    </row>
    <row r="144" spans="1:18" ht="15" customHeight="1">
      <c r="A144" s="20"/>
      <c r="B144" s="21">
        <f>DATE(2010,12,1)</f>
        <v>40513</v>
      </c>
      <c r="C144" s="22">
        <v>96087</v>
      </c>
      <c r="D144" s="22">
        <v>93374</v>
      </c>
      <c r="E144" s="24">
        <f t="shared" si="45"/>
        <v>0.029055197378285175</v>
      </c>
      <c r="F144" s="22">
        <f>+C144-51007</f>
        <v>45080</v>
      </c>
      <c r="G144" s="22">
        <f>+D144-49416</f>
        <v>43958</v>
      </c>
      <c r="H144" s="24">
        <f t="shared" si="46"/>
        <v>0.025524364165794622</v>
      </c>
      <c r="I144" s="25">
        <f t="shared" si="47"/>
        <v>32.639558421014286</v>
      </c>
      <c r="J144" s="25">
        <f t="shared" si="48"/>
        <v>69.57048025732031</v>
      </c>
      <c r="K144" s="22">
        <v>3136237.25</v>
      </c>
      <c r="L144" s="22">
        <v>2821639.76</v>
      </c>
      <c r="M144" s="26">
        <f t="shared" si="49"/>
        <v>0.11149456229664138</v>
      </c>
      <c r="N144" s="11"/>
      <c r="R144" s="2"/>
    </row>
    <row r="145" spans="1:18" ht="15" customHeight="1">
      <c r="A145" s="20"/>
      <c r="B145" s="21">
        <f>DATE(2011,1,1)</f>
        <v>40544</v>
      </c>
      <c r="C145" s="22">
        <v>91223</v>
      </c>
      <c r="D145" s="22">
        <v>96831</v>
      </c>
      <c r="E145" s="24">
        <f t="shared" si="45"/>
        <v>-0.05791533703049643</v>
      </c>
      <c r="F145" s="22">
        <f>+C145-48418</f>
        <v>42805</v>
      </c>
      <c r="G145" s="22">
        <f>+D145-51792</f>
        <v>45039</v>
      </c>
      <c r="H145" s="24">
        <f t="shared" si="46"/>
        <v>-0.049601456515464375</v>
      </c>
      <c r="I145" s="25">
        <f t="shared" si="47"/>
        <v>32.03384289049911</v>
      </c>
      <c r="J145" s="25">
        <f t="shared" si="48"/>
        <v>68.26826889382082</v>
      </c>
      <c r="K145" s="22">
        <v>2922223.25</v>
      </c>
      <c r="L145" s="22">
        <v>2862223.48</v>
      </c>
      <c r="M145" s="26">
        <f t="shared" si="49"/>
        <v>0.02096264335026698</v>
      </c>
      <c r="N145" s="11"/>
      <c r="R145" s="2"/>
    </row>
    <row r="146" spans="1:18" ht="15" customHeight="1">
      <c r="A146" s="20"/>
      <c r="B146" s="21">
        <f>DATE(2011,2,1)</f>
        <v>40575</v>
      </c>
      <c r="C146" s="22">
        <v>93185</v>
      </c>
      <c r="D146" s="22">
        <v>98020</v>
      </c>
      <c r="E146" s="24">
        <f t="shared" si="45"/>
        <v>-0.04932666802693328</v>
      </c>
      <c r="F146" s="22">
        <f>+C146-49784</f>
        <v>43401</v>
      </c>
      <c r="G146" s="22">
        <f>+D146-52688</f>
        <v>45332</v>
      </c>
      <c r="H146" s="24">
        <f t="shared" si="46"/>
        <v>-0.04259684108356128</v>
      </c>
      <c r="I146" s="25">
        <f t="shared" si="47"/>
        <v>33.70325063046628</v>
      </c>
      <c r="J146" s="25">
        <f t="shared" si="48"/>
        <v>72.36324992511693</v>
      </c>
      <c r="K146" s="22">
        <v>3140637.41</v>
      </c>
      <c r="L146" s="22">
        <v>3072500.42</v>
      </c>
      <c r="M146" s="26">
        <f t="shared" si="49"/>
        <v>0.022176397294032014</v>
      </c>
      <c r="N146" s="11"/>
      <c r="R146" s="2"/>
    </row>
    <row r="147" spans="1:18" ht="15" customHeight="1">
      <c r="A147" s="20"/>
      <c r="B147" s="21">
        <f>DATE(2011,3,1)</f>
        <v>40603</v>
      </c>
      <c r="C147" s="22">
        <v>106301</v>
      </c>
      <c r="D147" s="22">
        <v>106514</v>
      </c>
      <c r="E147" s="24">
        <f t="shared" si="45"/>
        <v>-0.001999737123758379</v>
      </c>
      <c r="F147" s="22">
        <f>+C147-56121</f>
        <v>50180</v>
      </c>
      <c r="G147" s="22">
        <f>+D147-56300</f>
        <v>50214</v>
      </c>
      <c r="H147" s="24">
        <f t="shared" si="46"/>
        <v>-0.0006771020034253395</v>
      </c>
      <c r="I147" s="25">
        <f t="shared" si="47"/>
        <v>34.14557313665911</v>
      </c>
      <c r="J147" s="25">
        <f t="shared" si="48"/>
        <v>72.33376982861698</v>
      </c>
      <c r="K147" s="22">
        <v>3629708.57</v>
      </c>
      <c r="L147" s="22">
        <v>3429701.28</v>
      </c>
      <c r="M147" s="26">
        <f t="shared" si="49"/>
        <v>0.058316242048928546</v>
      </c>
      <c r="N147" s="11"/>
      <c r="R147" s="2"/>
    </row>
    <row r="148" spans="1:18" ht="15" customHeight="1">
      <c r="A148" s="20"/>
      <c r="B148" s="21">
        <f>DATE(2011,4,1)</f>
        <v>40634</v>
      </c>
      <c r="C148" s="22">
        <v>94986</v>
      </c>
      <c r="D148" s="22">
        <v>99460</v>
      </c>
      <c r="E148" s="24">
        <f t="shared" si="45"/>
        <v>-0.04498290770158858</v>
      </c>
      <c r="F148" s="22">
        <f>+C148-49506</f>
        <v>45480</v>
      </c>
      <c r="G148" s="22">
        <f>+D148-52228</f>
        <v>47232</v>
      </c>
      <c r="H148" s="24">
        <f t="shared" si="46"/>
        <v>-0.03709349593495935</v>
      </c>
      <c r="I148" s="25">
        <f t="shared" si="47"/>
        <v>35.111654770176656</v>
      </c>
      <c r="J148" s="25">
        <f t="shared" si="48"/>
        <v>73.33147845206685</v>
      </c>
      <c r="K148" s="22">
        <v>3335115.64</v>
      </c>
      <c r="L148" s="22">
        <v>3259676.47</v>
      </c>
      <c r="M148" s="26">
        <f t="shared" si="49"/>
        <v>0.023143146473060844</v>
      </c>
      <c r="N148" s="11"/>
      <c r="R148" s="2"/>
    </row>
    <row r="149" spans="1:18" ht="15.75" thickBot="1">
      <c r="A149" s="39"/>
      <c r="B149" s="21"/>
      <c r="C149" s="22"/>
      <c r="D149" s="22"/>
      <c r="E149" s="24"/>
      <c r="F149" s="22"/>
      <c r="G149" s="22"/>
      <c r="H149" s="24"/>
      <c r="I149" s="25"/>
      <c r="J149" s="25"/>
      <c r="K149" s="22"/>
      <c r="L149" s="22"/>
      <c r="M149" s="26"/>
      <c r="N149" s="11"/>
      <c r="R149" s="2"/>
    </row>
    <row r="150" spans="1:18" ht="17.25" thickBot="1" thickTop="1">
      <c r="A150" s="71" t="s">
        <v>14</v>
      </c>
      <c r="B150" s="60"/>
      <c r="C150" s="55">
        <f>SUM(C139:C149)</f>
        <v>985357</v>
      </c>
      <c r="D150" s="55">
        <f>SUM(D139:D149)</f>
        <v>1012872</v>
      </c>
      <c r="E150" s="43">
        <f>(+C150-D150)/D150</f>
        <v>-0.027165327899280462</v>
      </c>
      <c r="F150" s="55">
        <f>SUM(F139:F149)</f>
        <v>468005</v>
      </c>
      <c r="G150" s="55">
        <f>SUM(G139:G149)</f>
        <v>479074</v>
      </c>
      <c r="H150" s="44">
        <f>(+F150-G150)/G150</f>
        <v>-0.02310499004329185</v>
      </c>
      <c r="I150" s="57">
        <f>K150/C150</f>
        <v>32.31871497335484</v>
      </c>
      <c r="J150" s="57">
        <f>K150/F150</f>
        <v>68.04515342784799</v>
      </c>
      <c r="K150" s="55">
        <f>SUM(K139:K149)</f>
        <v>31845472.03</v>
      </c>
      <c r="L150" s="55">
        <f>SUM(L139:L149)</f>
        <v>30587743.119999997</v>
      </c>
      <c r="M150" s="46">
        <f>(+K150-L150)/L150</f>
        <v>0.04111872213212192</v>
      </c>
      <c r="N150" s="11"/>
      <c r="R150" s="2"/>
    </row>
    <row r="151" spans="1:18" ht="16.5" thickTop="1">
      <c r="A151" s="59"/>
      <c r="B151" s="48"/>
      <c r="C151" s="49"/>
      <c r="D151" s="49"/>
      <c r="E151" s="50"/>
      <c r="F151" s="49"/>
      <c r="G151" s="49"/>
      <c r="H151" s="50"/>
      <c r="I151" s="51"/>
      <c r="J151" s="51"/>
      <c r="K151" s="49"/>
      <c r="L151" s="49"/>
      <c r="M151" s="26"/>
      <c r="N151" s="11"/>
      <c r="R151" s="2"/>
    </row>
    <row r="152" spans="1:18" ht="15.75">
      <c r="A152" s="20" t="s">
        <v>20</v>
      </c>
      <c r="B152" s="21">
        <f>DATE(2010,7,1)</f>
        <v>40360</v>
      </c>
      <c r="C152" s="22">
        <v>749481</v>
      </c>
      <c r="D152" s="22">
        <v>748448</v>
      </c>
      <c r="E152" s="24">
        <f aca="true" t="shared" si="50" ref="E152:E161">(+C152-D152)/D152</f>
        <v>0.0013801894052759844</v>
      </c>
      <c r="F152" s="22">
        <f>+C152-367352</f>
        <v>382129</v>
      </c>
      <c r="G152" s="22">
        <f>+D152-388301</f>
        <v>360147</v>
      </c>
      <c r="H152" s="24">
        <f aca="true" t="shared" si="51" ref="H152:H161">(+F152-G152)/G152</f>
        <v>0.0610361880010107</v>
      </c>
      <c r="I152" s="25">
        <f aca="true" t="shared" si="52" ref="I152:I161">K152/C152</f>
        <v>33.62567341933951</v>
      </c>
      <c r="J152" s="25">
        <f aca="true" t="shared" si="53" ref="J152:J161">K152/F152</f>
        <v>65.95103574970756</v>
      </c>
      <c r="K152" s="22">
        <v>25201803.34</v>
      </c>
      <c r="L152" s="22">
        <v>26128043.32</v>
      </c>
      <c r="M152" s="26">
        <f aca="true" t="shared" si="54" ref="M152:M161">(+K152-L152)/L152</f>
        <v>-0.03545003231416873</v>
      </c>
      <c r="N152" s="11"/>
      <c r="R152" s="2"/>
    </row>
    <row r="153" spans="1:18" ht="15.75">
      <c r="A153" s="20"/>
      <c r="B153" s="21">
        <f>DATE(2010,8,1)</f>
        <v>40391</v>
      </c>
      <c r="C153" s="22">
        <v>663205</v>
      </c>
      <c r="D153" s="22">
        <v>725045</v>
      </c>
      <c r="E153" s="24">
        <f t="shared" si="50"/>
        <v>-0.08529125778399961</v>
      </c>
      <c r="F153" s="22">
        <f>+C153-326816</f>
        <v>336389</v>
      </c>
      <c r="G153" s="22">
        <f>+D153-367922</f>
        <v>357123</v>
      </c>
      <c r="H153" s="24">
        <f t="shared" si="51"/>
        <v>-0.0580584280485995</v>
      </c>
      <c r="I153" s="25">
        <f t="shared" si="52"/>
        <v>34.46053327402537</v>
      </c>
      <c r="J153" s="25">
        <f t="shared" si="53"/>
        <v>67.94038440614884</v>
      </c>
      <c r="K153" s="22">
        <v>22854397.97</v>
      </c>
      <c r="L153" s="22">
        <v>25008111.49</v>
      </c>
      <c r="M153" s="26">
        <f t="shared" si="54"/>
        <v>-0.08612059814517405</v>
      </c>
      <c r="N153" s="11"/>
      <c r="R153" s="2"/>
    </row>
    <row r="154" spans="1:18" ht="15.75">
      <c r="A154" s="20"/>
      <c r="B154" s="21">
        <f>DATE(2010,9,1)</f>
        <v>40422</v>
      </c>
      <c r="C154" s="22">
        <v>615273</v>
      </c>
      <c r="D154" s="22">
        <v>679741</v>
      </c>
      <c r="E154" s="24">
        <f t="shared" si="50"/>
        <v>-0.09484200599934386</v>
      </c>
      <c r="F154" s="22">
        <f>+C154-306224</f>
        <v>309049</v>
      </c>
      <c r="G154" s="22">
        <f>+D154-346553</f>
        <v>333188</v>
      </c>
      <c r="H154" s="24">
        <f t="shared" si="51"/>
        <v>-0.07244858758418671</v>
      </c>
      <c r="I154" s="25">
        <f t="shared" si="52"/>
        <v>35.07971508582369</v>
      </c>
      <c r="J154" s="25">
        <f t="shared" si="53"/>
        <v>69.83876841536456</v>
      </c>
      <c r="K154" s="22">
        <v>21583601.54</v>
      </c>
      <c r="L154" s="22">
        <v>23487009.24</v>
      </c>
      <c r="M154" s="26">
        <f t="shared" si="54"/>
        <v>-0.08104087159630204</v>
      </c>
      <c r="N154" s="11"/>
      <c r="R154" s="2"/>
    </row>
    <row r="155" spans="1:18" ht="15.75">
      <c r="A155" s="20"/>
      <c r="B155" s="21">
        <f>DATE(2010,10,1)</f>
        <v>40452</v>
      </c>
      <c r="C155" s="22">
        <v>650183</v>
      </c>
      <c r="D155" s="22">
        <v>701984</v>
      </c>
      <c r="E155" s="24">
        <f t="shared" si="50"/>
        <v>-0.0737922801659297</v>
      </c>
      <c r="F155" s="22">
        <f>+C155-329299</f>
        <v>320884</v>
      </c>
      <c r="G155" s="22">
        <f>+D155-356946</f>
        <v>345038</v>
      </c>
      <c r="H155" s="24">
        <f t="shared" si="51"/>
        <v>-0.07000388363020885</v>
      </c>
      <c r="I155" s="25">
        <f t="shared" si="52"/>
        <v>36.09584796895643</v>
      </c>
      <c r="J155" s="25">
        <f t="shared" si="53"/>
        <v>73.13828897670186</v>
      </c>
      <c r="K155" s="22">
        <v>23468906.72</v>
      </c>
      <c r="L155" s="22">
        <v>23781070</v>
      </c>
      <c r="M155" s="26">
        <f t="shared" si="54"/>
        <v>-0.013126544768591203</v>
      </c>
      <c r="N155" s="11"/>
      <c r="R155" s="2"/>
    </row>
    <row r="156" spans="1:18" ht="15.75">
      <c r="A156" s="20"/>
      <c r="B156" s="21">
        <f>DATE(2010,11,1)</f>
        <v>40483</v>
      </c>
      <c r="C156" s="22">
        <v>640037</v>
      </c>
      <c r="D156" s="22">
        <v>685773</v>
      </c>
      <c r="E156" s="24">
        <f t="shared" si="50"/>
        <v>-0.06669262277750801</v>
      </c>
      <c r="F156" s="22">
        <f>+C156-322785</f>
        <v>317252</v>
      </c>
      <c r="G156" s="22">
        <f>+D156-351295</f>
        <v>334478</v>
      </c>
      <c r="H156" s="24">
        <f t="shared" si="51"/>
        <v>-0.05150114506783705</v>
      </c>
      <c r="I156" s="25">
        <f t="shared" si="52"/>
        <v>34.73552024336093</v>
      </c>
      <c r="J156" s="25">
        <f t="shared" si="53"/>
        <v>70.07684165899664</v>
      </c>
      <c r="K156" s="22">
        <v>22232018.17</v>
      </c>
      <c r="L156" s="22">
        <v>23618291.84</v>
      </c>
      <c r="M156" s="26">
        <f t="shared" si="54"/>
        <v>-0.05869491660917668</v>
      </c>
      <c r="N156" s="11"/>
      <c r="R156" s="2"/>
    </row>
    <row r="157" spans="1:18" ht="15.75">
      <c r="A157" s="20"/>
      <c r="B157" s="21">
        <f>DATE(2010,12,1)</f>
        <v>40513</v>
      </c>
      <c r="C157" s="22">
        <v>662991</v>
      </c>
      <c r="D157" s="22">
        <v>695611</v>
      </c>
      <c r="E157" s="24">
        <f t="shared" si="50"/>
        <v>-0.046894025540136657</v>
      </c>
      <c r="F157" s="22">
        <f>+C157-335237</f>
        <v>327754</v>
      </c>
      <c r="G157" s="22">
        <f>+D157-353513</f>
        <v>342098</v>
      </c>
      <c r="H157" s="24">
        <f t="shared" si="51"/>
        <v>-0.04192950558027232</v>
      </c>
      <c r="I157" s="25">
        <f t="shared" si="52"/>
        <v>35.23235487359557</v>
      </c>
      <c r="J157" s="25">
        <f t="shared" si="53"/>
        <v>71.26910484692789</v>
      </c>
      <c r="K157" s="22">
        <v>23358734.19</v>
      </c>
      <c r="L157" s="22">
        <v>23884484.77</v>
      </c>
      <c r="M157" s="26">
        <f t="shared" si="54"/>
        <v>-0.022012221953406543</v>
      </c>
      <c r="N157" s="11"/>
      <c r="R157" s="2"/>
    </row>
    <row r="158" spans="1:18" ht="15.75">
      <c r="A158" s="20"/>
      <c r="B158" s="21">
        <f>DATE(2011,1,1)</f>
        <v>40544</v>
      </c>
      <c r="C158" s="22">
        <v>666805</v>
      </c>
      <c r="D158" s="22">
        <v>712568</v>
      </c>
      <c r="E158" s="24">
        <f t="shared" si="50"/>
        <v>-0.06422264261095081</v>
      </c>
      <c r="F158" s="22">
        <f>+C158-336981</f>
        <v>329824</v>
      </c>
      <c r="G158" s="22">
        <f>+D158-372708</f>
        <v>339860</v>
      </c>
      <c r="H158" s="24">
        <f t="shared" si="51"/>
        <v>-0.029529806390866827</v>
      </c>
      <c r="I158" s="25">
        <f t="shared" si="52"/>
        <v>33.393542954836875</v>
      </c>
      <c r="J158" s="25">
        <f t="shared" si="53"/>
        <v>67.511707486417</v>
      </c>
      <c r="K158" s="22">
        <v>22266981.41</v>
      </c>
      <c r="L158" s="22">
        <v>24361017.96</v>
      </c>
      <c r="M158" s="26">
        <f t="shared" si="54"/>
        <v>-0.08595849949449323</v>
      </c>
      <c r="N158" s="11"/>
      <c r="R158" s="2"/>
    </row>
    <row r="159" spans="1:18" ht="15.75">
      <c r="A159" s="20"/>
      <c r="B159" s="21">
        <f>DATE(2011,2,1)</f>
        <v>40575</v>
      </c>
      <c r="C159" s="22">
        <v>624166</v>
      </c>
      <c r="D159" s="22">
        <v>680468</v>
      </c>
      <c r="E159" s="24">
        <f t="shared" si="50"/>
        <v>-0.08274011415672743</v>
      </c>
      <c r="F159" s="22">
        <f>+C159-326875</f>
        <v>297291</v>
      </c>
      <c r="G159" s="22">
        <f>+D159-358781</f>
        <v>321687</v>
      </c>
      <c r="H159" s="24">
        <f t="shared" si="51"/>
        <v>-0.07583769316136493</v>
      </c>
      <c r="I159" s="25">
        <f t="shared" si="52"/>
        <v>37.01368041514597</v>
      </c>
      <c r="J159" s="25">
        <f t="shared" si="53"/>
        <v>77.7106634576896</v>
      </c>
      <c r="K159" s="22">
        <v>23102680.85</v>
      </c>
      <c r="L159" s="22">
        <v>24683383.72</v>
      </c>
      <c r="M159" s="26">
        <f t="shared" si="54"/>
        <v>-0.06403914827606129</v>
      </c>
      <c r="N159" s="11"/>
      <c r="R159" s="2"/>
    </row>
    <row r="160" spans="1:18" ht="15.75">
      <c r="A160" s="20"/>
      <c r="B160" s="21">
        <f>DATE(2011,3,1)</f>
        <v>40603</v>
      </c>
      <c r="C160" s="22">
        <v>658708</v>
      </c>
      <c r="D160" s="22">
        <v>670942</v>
      </c>
      <c r="E160" s="24">
        <f t="shared" si="50"/>
        <v>-0.01823406494152997</v>
      </c>
      <c r="F160" s="22">
        <f>+C160-341257</f>
        <v>317451</v>
      </c>
      <c r="G160" s="22">
        <f>+D160-342479</f>
        <v>328463</v>
      </c>
      <c r="H160" s="24">
        <f t="shared" si="51"/>
        <v>-0.033525846137921166</v>
      </c>
      <c r="I160" s="25">
        <f t="shared" si="52"/>
        <v>37.658920902736874</v>
      </c>
      <c r="J160" s="25">
        <f t="shared" si="53"/>
        <v>78.14192574602065</v>
      </c>
      <c r="K160" s="22">
        <v>24806232.47</v>
      </c>
      <c r="L160" s="22">
        <v>24207902.4</v>
      </c>
      <c r="M160" s="26">
        <f t="shared" si="54"/>
        <v>0.024716312058495424</v>
      </c>
      <c r="N160" s="11"/>
      <c r="R160" s="2"/>
    </row>
    <row r="161" spans="1:18" ht="15.75">
      <c r="A161" s="20"/>
      <c r="B161" s="21">
        <f>DATE(2011,4,1)</f>
        <v>40634</v>
      </c>
      <c r="C161" s="22">
        <v>632886</v>
      </c>
      <c r="D161" s="22">
        <v>613998</v>
      </c>
      <c r="E161" s="24">
        <f t="shared" si="50"/>
        <v>0.03076231518669442</v>
      </c>
      <c r="F161" s="22">
        <f>+C161-326821</f>
        <v>306065</v>
      </c>
      <c r="G161" s="22">
        <f>+D161-309466</f>
        <v>304532</v>
      </c>
      <c r="H161" s="24">
        <f t="shared" si="51"/>
        <v>0.005033953738851746</v>
      </c>
      <c r="I161" s="25">
        <f t="shared" si="52"/>
        <v>38.063890985106326</v>
      </c>
      <c r="J161" s="25">
        <f t="shared" si="53"/>
        <v>78.70910986228415</v>
      </c>
      <c r="K161" s="22">
        <v>24090103.71</v>
      </c>
      <c r="L161" s="22">
        <v>22840549.98</v>
      </c>
      <c r="M161" s="26">
        <f t="shared" si="54"/>
        <v>0.0547076900991506</v>
      </c>
      <c r="N161" s="11"/>
      <c r="R161" s="2"/>
    </row>
    <row r="162" spans="1:18" ht="15.75" thickBot="1">
      <c r="A162" s="39"/>
      <c r="B162" s="52"/>
      <c r="C162" s="22"/>
      <c r="D162" s="22"/>
      <c r="E162" s="24"/>
      <c r="F162" s="22"/>
      <c r="G162" s="22"/>
      <c r="H162" s="24"/>
      <c r="I162" s="25"/>
      <c r="J162" s="25"/>
      <c r="K162" s="22"/>
      <c r="L162" s="22"/>
      <c r="M162" s="26"/>
      <c r="N162" s="11"/>
      <c r="R162" s="2"/>
    </row>
    <row r="163" spans="1:18" ht="17.25" thickBot="1" thickTop="1">
      <c r="A163" s="40" t="s">
        <v>14</v>
      </c>
      <c r="B163" s="41"/>
      <c r="C163" s="42">
        <f>SUM(C152:C162)</f>
        <v>6563735</v>
      </c>
      <c r="D163" s="42">
        <f>SUM(D152:D162)</f>
        <v>6914578</v>
      </c>
      <c r="E163" s="43">
        <f>(+C163-D163)/D163</f>
        <v>-0.05073961129659684</v>
      </c>
      <c r="F163" s="42">
        <f>SUM(F152:F162)</f>
        <v>3244088</v>
      </c>
      <c r="G163" s="42">
        <f>SUM(G152:G162)</f>
        <v>3366614</v>
      </c>
      <c r="H163" s="44">
        <f>(+F163-G163)/G163</f>
        <v>-0.03639443072475787</v>
      </c>
      <c r="I163" s="45">
        <f>K163/C163</f>
        <v>35.49281931247986</v>
      </c>
      <c r="J163" s="45">
        <f>K163/F163</f>
        <v>71.8123122338235</v>
      </c>
      <c r="K163" s="42">
        <f>SUM(K152:K162)</f>
        <v>232965460.37</v>
      </c>
      <c r="L163" s="42">
        <f>SUM(L152:L162)</f>
        <v>241999864.72</v>
      </c>
      <c r="M163" s="46">
        <f>(+K163-L163)/L163</f>
        <v>-0.037332270249212866</v>
      </c>
      <c r="N163" s="11"/>
      <c r="R163" s="2"/>
    </row>
    <row r="164" spans="1:18" ht="16.5" thickTop="1">
      <c r="A164" s="59"/>
      <c r="B164" s="48"/>
      <c r="C164" s="49"/>
      <c r="D164" s="49"/>
      <c r="E164" s="50"/>
      <c r="F164" s="49"/>
      <c r="G164" s="49"/>
      <c r="H164" s="50"/>
      <c r="I164" s="51"/>
      <c r="J164" s="51"/>
      <c r="K164" s="49"/>
      <c r="L164" s="49"/>
      <c r="M164" s="26"/>
      <c r="N164" s="11"/>
      <c r="R164" s="2"/>
    </row>
    <row r="165" spans="1:18" ht="15.75">
      <c r="A165" s="20" t="s">
        <v>56</v>
      </c>
      <c r="B165" s="21">
        <f>DATE(2010,7,1)</f>
        <v>40360</v>
      </c>
      <c r="C165" s="22">
        <v>118468</v>
      </c>
      <c r="D165" s="22">
        <v>119361</v>
      </c>
      <c r="E165" s="24">
        <f aca="true" t="shared" si="55" ref="E165:E174">(+C165-D165)/D165</f>
        <v>-0.00748150568443629</v>
      </c>
      <c r="F165" s="22">
        <f>+C165-60257</f>
        <v>58211</v>
      </c>
      <c r="G165" s="22">
        <f>+D165-59745</f>
        <v>59616</v>
      </c>
      <c r="H165" s="24">
        <f aca="true" t="shared" si="56" ref="H165:H174">(+F165-G165)/G165</f>
        <v>-0.02356749865807837</v>
      </c>
      <c r="I165" s="25">
        <f aca="true" t="shared" si="57" ref="I165:I174">K165/C165</f>
        <v>29.984008170982882</v>
      </c>
      <c r="J165" s="25">
        <f aca="true" t="shared" si="58" ref="J165:J174">K165/F165</f>
        <v>61.02189414371854</v>
      </c>
      <c r="K165" s="22">
        <v>3552145.48</v>
      </c>
      <c r="L165" s="22">
        <v>3298206.87</v>
      </c>
      <c r="M165" s="26">
        <f aca="true" t="shared" si="59" ref="M165:M174">(+K165-L165)/L165</f>
        <v>0.07699292979763876</v>
      </c>
      <c r="N165" s="11"/>
      <c r="R165" s="2"/>
    </row>
    <row r="166" spans="1:18" ht="15.75">
      <c r="A166" s="20"/>
      <c r="B166" s="21">
        <f>DATE(2010,8,1)</f>
        <v>40391</v>
      </c>
      <c r="C166" s="22">
        <v>114324</v>
      </c>
      <c r="D166" s="22">
        <v>113881</v>
      </c>
      <c r="E166" s="24">
        <f t="shared" si="55"/>
        <v>0.003890025552989524</v>
      </c>
      <c r="F166" s="22">
        <f>+C166-57817</f>
        <v>56507</v>
      </c>
      <c r="G166" s="22">
        <f>+D166-56726</f>
        <v>57155</v>
      </c>
      <c r="H166" s="24">
        <f t="shared" si="56"/>
        <v>-0.011337590761963083</v>
      </c>
      <c r="I166" s="25">
        <f t="shared" si="57"/>
        <v>28.355184388229944</v>
      </c>
      <c r="J166" s="25">
        <f t="shared" si="58"/>
        <v>57.367726122427314</v>
      </c>
      <c r="K166" s="22">
        <v>3241678.1</v>
      </c>
      <c r="L166" s="22">
        <v>3170729.23</v>
      </c>
      <c r="M166" s="26">
        <f t="shared" si="59"/>
        <v>0.022376199559619954</v>
      </c>
      <c r="N166" s="11"/>
      <c r="R166" s="2"/>
    </row>
    <row r="167" spans="1:18" ht="15.75">
      <c r="A167" s="20"/>
      <c r="B167" s="21">
        <f>DATE(2010,9,1)</f>
        <v>40422</v>
      </c>
      <c r="C167" s="22">
        <v>109224</v>
      </c>
      <c r="D167" s="22">
        <v>109575</v>
      </c>
      <c r="E167" s="24">
        <f t="shared" si="55"/>
        <v>-0.0032032854209445585</v>
      </c>
      <c r="F167" s="22">
        <f>+C167-55441</f>
        <v>53783</v>
      </c>
      <c r="G167" s="22">
        <f>+D167-54547</f>
        <v>55028</v>
      </c>
      <c r="H167" s="24">
        <f t="shared" si="56"/>
        <v>-0.022624845533183106</v>
      </c>
      <c r="I167" s="25">
        <f t="shared" si="57"/>
        <v>29.622325221563027</v>
      </c>
      <c r="J167" s="25">
        <f t="shared" si="58"/>
        <v>60.15783518955804</v>
      </c>
      <c r="K167" s="22">
        <v>3235468.85</v>
      </c>
      <c r="L167" s="22">
        <v>3084269.58</v>
      </c>
      <c r="M167" s="26">
        <f t="shared" si="59"/>
        <v>0.049022715452778295</v>
      </c>
      <c r="N167" s="11"/>
      <c r="R167" s="2"/>
    </row>
    <row r="168" spans="1:18" ht="15.75">
      <c r="A168" s="20"/>
      <c r="B168" s="21">
        <f>DATE(2010,10,1)</f>
        <v>40452</v>
      </c>
      <c r="C168" s="22">
        <v>113407</v>
      </c>
      <c r="D168" s="22">
        <v>109899</v>
      </c>
      <c r="E168" s="24">
        <f t="shared" si="55"/>
        <v>0.03192021765439176</v>
      </c>
      <c r="F168" s="22">
        <f>+C168-57546</f>
        <v>55861</v>
      </c>
      <c r="G168" s="22">
        <f>+D168-55626</f>
        <v>54273</v>
      </c>
      <c r="H168" s="24">
        <f t="shared" si="56"/>
        <v>0.02925948445820205</v>
      </c>
      <c r="I168" s="25">
        <f t="shared" si="57"/>
        <v>29.65024742740748</v>
      </c>
      <c r="J168" s="25">
        <f t="shared" si="58"/>
        <v>60.194869587010615</v>
      </c>
      <c r="K168" s="22">
        <v>3362545.61</v>
      </c>
      <c r="L168" s="22">
        <v>3177087.2</v>
      </c>
      <c r="M168" s="26">
        <f t="shared" si="59"/>
        <v>0.05837372357925828</v>
      </c>
      <c r="N168" s="11"/>
      <c r="R168" s="2"/>
    </row>
    <row r="169" spans="1:18" ht="15.75">
      <c r="A169" s="20"/>
      <c r="B169" s="21">
        <f>DATE(2010,11,1)</f>
        <v>40483</v>
      </c>
      <c r="C169" s="22">
        <v>103711</v>
      </c>
      <c r="D169" s="22">
        <v>101696</v>
      </c>
      <c r="E169" s="24">
        <f t="shared" si="55"/>
        <v>0.019813955317809943</v>
      </c>
      <c r="F169" s="22">
        <f>+C169-52883</f>
        <v>50828</v>
      </c>
      <c r="G169" s="22">
        <f>+D169-51888</f>
        <v>49808</v>
      </c>
      <c r="H169" s="24">
        <f t="shared" si="56"/>
        <v>0.020478637969804047</v>
      </c>
      <c r="I169" s="25">
        <f t="shared" si="57"/>
        <v>30.231303911831915</v>
      </c>
      <c r="J169" s="25">
        <f t="shared" si="58"/>
        <v>61.684873691666006</v>
      </c>
      <c r="K169" s="22">
        <v>3135318.76</v>
      </c>
      <c r="L169" s="22">
        <v>2976719</v>
      </c>
      <c r="M169" s="26">
        <f t="shared" si="59"/>
        <v>0.0532800576742379</v>
      </c>
      <c r="N169" s="11"/>
      <c r="R169" s="2"/>
    </row>
    <row r="170" spans="1:18" ht="15.75">
      <c r="A170" s="20"/>
      <c r="B170" s="21">
        <f>DATE(2010,12,1)</f>
        <v>40513</v>
      </c>
      <c r="C170" s="22">
        <v>108617</v>
      </c>
      <c r="D170" s="22">
        <v>95283</v>
      </c>
      <c r="E170" s="24">
        <f t="shared" si="55"/>
        <v>0.13994101781010254</v>
      </c>
      <c r="F170" s="22">
        <f>+C170-55720</f>
        <v>52897</v>
      </c>
      <c r="G170" s="22">
        <f>+D170-48963</f>
        <v>46320</v>
      </c>
      <c r="H170" s="24">
        <f t="shared" si="56"/>
        <v>0.14199050086355786</v>
      </c>
      <c r="I170" s="25">
        <f t="shared" si="57"/>
        <v>31.757192704641078</v>
      </c>
      <c r="J170" s="25">
        <f t="shared" si="58"/>
        <v>65.20919900939562</v>
      </c>
      <c r="K170" s="22">
        <v>3449371</v>
      </c>
      <c r="L170" s="22">
        <v>2774148.42</v>
      </c>
      <c r="M170" s="26">
        <f t="shared" si="59"/>
        <v>0.24339814522252565</v>
      </c>
      <c r="N170" s="11"/>
      <c r="R170" s="2"/>
    </row>
    <row r="171" spans="1:18" ht="15.75">
      <c r="A171" s="20"/>
      <c r="B171" s="21">
        <f>DATE(2011,1,1)</f>
        <v>40544</v>
      </c>
      <c r="C171" s="22">
        <v>101196</v>
      </c>
      <c r="D171" s="22">
        <v>105683</v>
      </c>
      <c r="E171" s="24">
        <f t="shared" si="55"/>
        <v>-0.04245715961886018</v>
      </c>
      <c r="F171" s="22">
        <f>+C171-52535</f>
        <v>48661</v>
      </c>
      <c r="G171" s="22">
        <f>+D171-54768</f>
        <v>50915</v>
      </c>
      <c r="H171" s="24">
        <f t="shared" si="56"/>
        <v>-0.044269861533929096</v>
      </c>
      <c r="I171" s="25">
        <f t="shared" si="57"/>
        <v>30.140494782402463</v>
      </c>
      <c r="J171" s="25">
        <f t="shared" si="58"/>
        <v>62.68053492529952</v>
      </c>
      <c r="K171" s="22">
        <v>3050097.51</v>
      </c>
      <c r="L171" s="22">
        <v>3124207.31</v>
      </c>
      <c r="M171" s="26">
        <f t="shared" si="59"/>
        <v>-0.023721153126679124</v>
      </c>
      <c r="N171" s="11"/>
      <c r="R171" s="2"/>
    </row>
    <row r="172" spans="1:18" ht="15.75">
      <c r="A172" s="20"/>
      <c r="B172" s="21">
        <f>DATE(2011,2,1)</f>
        <v>40575</v>
      </c>
      <c r="C172" s="22">
        <v>110926</v>
      </c>
      <c r="D172" s="22">
        <v>109244</v>
      </c>
      <c r="E172" s="24">
        <f t="shared" si="55"/>
        <v>0.015396726593680202</v>
      </c>
      <c r="F172" s="22">
        <f>+C172-58406</f>
        <v>52520</v>
      </c>
      <c r="G172" s="22">
        <f>+D172-57415</f>
        <v>51829</v>
      </c>
      <c r="H172" s="24">
        <f t="shared" si="56"/>
        <v>0.013332304308398773</v>
      </c>
      <c r="I172" s="25">
        <f t="shared" si="57"/>
        <v>30.851831040513495</v>
      </c>
      <c r="J172" s="25">
        <f t="shared" si="58"/>
        <v>65.16127589489719</v>
      </c>
      <c r="K172" s="22">
        <v>3422270.21</v>
      </c>
      <c r="L172" s="22">
        <v>3399662.04</v>
      </c>
      <c r="M172" s="26">
        <f t="shared" si="59"/>
        <v>0.006650122786910879</v>
      </c>
      <c r="N172" s="11"/>
      <c r="R172" s="2"/>
    </row>
    <row r="173" spans="1:18" ht="15.75">
      <c r="A173" s="20"/>
      <c r="B173" s="21">
        <f>DATE(2011,3,1)</f>
        <v>40603</v>
      </c>
      <c r="C173" s="22">
        <v>123144</v>
      </c>
      <c r="D173" s="22">
        <v>120155</v>
      </c>
      <c r="E173" s="24">
        <f t="shared" si="55"/>
        <v>0.02487620157296825</v>
      </c>
      <c r="F173" s="22">
        <f>+C173-63344</f>
        <v>59800</v>
      </c>
      <c r="G173" s="22">
        <f>+D173-61866</f>
        <v>58289</v>
      </c>
      <c r="H173" s="24">
        <f t="shared" si="56"/>
        <v>0.02592255828715538</v>
      </c>
      <c r="I173" s="25">
        <f t="shared" si="57"/>
        <v>30.641208666276878</v>
      </c>
      <c r="J173" s="25">
        <f t="shared" si="58"/>
        <v>63.09834448160535</v>
      </c>
      <c r="K173" s="22">
        <v>3773281</v>
      </c>
      <c r="L173" s="22">
        <v>3499196.87</v>
      </c>
      <c r="M173" s="26">
        <f t="shared" si="59"/>
        <v>0.07832772495592678</v>
      </c>
      <c r="N173" s="11"/>
      <c r="R173" s="2"/>
    </row>
    <row r="174" spans="1:18" ht="15.75">
      <c r="A174" s="20"/>
      <c r="B174" s="21">
        <f>DATE(2011,4,1)</f>
        <v>40634</v>
      </c>
      <c r="C174" s="22">
        <v>114395</v>
      </c>
      <c r="D174" s="22">
        <v>111711</v>
      </c>
      <c r="E174" s="24">
        <f t="shared" si="55"/>
        <v>0.024026282102926302</v>
      </c>
      <c r="F174" s="22">
        <f>+C174-58225</f>
        <v>56170</v>
      </c>
      <c r="G174" s="22">
        <f>+D174-57373</f>
        <v>54338</v>
      </c>
      <c r="H174" s="24">
        <f t="shared" si="56"/>
        <v>0.03371489565313408</v>
      </c>
      <c r="I174" s="25">
        <f t="shared" si="57"/>
        <v>31.28264076227108</v>
      </c>
      <c r="J174" s="25">
        <f t="shared" si="58"/>
        <v>63.70976838169842</v>
      </c>
      <c r="K174" s="22">
        <v>3578577.69</v>
      </c>
      <c r="L174" s="22">
        <v>3209869.31</v>
      </c>
      <c r="M174" s="26">
        <f t="shared" si="59"/>
        <v>0.11486710030571304</v>
      </c>
      <c r="N174" s="11"/>
      <c r="R174" s="2"/>
    </row>
    <row r="175" spans="1:18" ht="15.75" thickBot="1">
      <c r="A175" s="39"/>
      <c r="B175" s="52"/>
      <c r="C175" s="22"/>
      <c r="D175" s="22"/>
      <c r="E175" s="24"/>
      <c r="F175" s="22"/>
      <c r="G175" s="22"/>
      <c r="H175" s="24"/>
      <c r="I175" s="25"/>
      <c r="J175" s="25"/>
      <c r="K175" s="22"/>
      <c r="L175" s="22"/>
      <c r="M175" s="26"/>
      <c r="N175" s="11"/>
      <c r="R175" s="2"/>
    </row>
    <row r="176" spans="1:18" ht="17.25" thickBot="1" thickTop="1">
      <c r="A176" s="27" t="s">
        <v>14</v>
      </c>
      <c r="B176" s="28"/>
      <c r="C176" s="29">
        <f>SUM(C165:C175)</f>
        <v>1117412</v>
      </c>
      <c r="D176" s="29">
        <f>SUM(D165:D175)</f>
        <v>1096488</v>
      </c>
      <c r="E176" s="30">
        <f>(+C176-D176)/D176</f>
        <v>0.019082744179598866</v>
      </c>
      <c r="F176" s="29">
        <f>SUM(F165:F175)</f>
        <v>545238</v>
      </c>
      <c r="G176" s="29">
        <f>SUM(G165:G175)</f>
        <v>537571</v>
      </c>
      <c r="H176" s="31">
        <f>(+F176-G176)/G176</f>
        <v>0.014262302095909191</v>
      </c>
      <c r="I176" s="32">
        <f>K176/C176</f>
        <v>30.2491419548027</v>
      </c>
      <c r="J176" s="32">
        <f>K176/F176</f>
        <v>61.99266047120706</v>
      </c>
      <c r="K176" s="29">
        <f>SUM(K165:K175)</f>
        <v>33800754.20999999</v>
      </c>
      <c r="L176" s="29">
        <f>SUM(L165:L175)</f>
        <v>31714095.829999994</v>
      </c>
      <c r="M176" s="33">
        <f>(+K176-L176)/L176</f>
        <v>0.06579592844725284</v>
      </c>
      <c r="N176" s="11"/>
      <c r="R176" s="2"/>
    </row>
    <row r="177" spans="1:18" ht="16.5" thickBot="1" thickTop="1">
      <c r="A177" s="72"/>
      <c r="B177" s="35"/>
      <c r="C177" s="36"/>
      <c r="D177" s="36"/>
      <c r="E177" s="30"/>
      <c r="F177" s="36"/>
      <c r="G177" s="36"/>
      <c r="H177" s="30"/>
      <c r="I177" s="37"/>
      <c r="J177" s="37"/>
      <c r="K177" s="36"/>
      <c r="L177" s="36"/>
      <c r="M177" s="38"/>
      <c r="N177" s="11"/>
      <c r="R177" s="2"/>
    </row>
    <row r="178" spans="1:18" ht="17.25" thickBot="1" thickTop="1">
      <c r="A178" s="73" t="s">
        <v>21</v>
      </c>
      <c r="B178" s="74"/>
      <c r="C178" s="29">
        <f>C176+C163+C137+C72+C85++C98+C46+C20+C111+C124+C59+C150+C33</f>
        <v>45641431</v>
      </c>
      <c r="D178" s="29">
        <f>D176+D163+D137+D72+D85++D98+D46+D20+D111+D124+D59+D150+D33</f>
        <v>44491256</v>
      </c>
      <c r="E178" s="30">
        <f>(+C178-D178)/D178</f>
        <v>0.025851708929053384</v>
      </c>
      <c r="F178" s="29">
        <f>F176+F163+F137+F72+F85++F98+F46+F20+F111+F124+F59+F150+F33</f>
        <v>22261816</v>
      </c>
      <c r="G178" s="29">
        <f>G176+G163+G137+G72+G85++G98+G46+G20+G111+G124+G59+G150+G33</f>
        <v>21970196</v>
      </c>
      <c r="H178" s="31">
        <f>(+F178-G178)/G178</f>
        <v>0.013273436431791505</v>
      </c>
      <c r="I178" s="32">
        <f>K178/C178</f>
        <v>33.010850695938956</v>
      </c>
      <c r="J178" s="32">
        <f>K178/F178</f>
        <v>67.67922546345724</v>
      </c>
      <c r="K178" s="29">
        <f>K176+K163+K137+K72+K85++K98+K46+K20+K111+K124+K59+K150+K33</f>
        <v>1506662464.2899997</v>
      </c>
      <c r="L178" s="29">
        <f>L176+L163+L137+L72+L85++L98+L46+L20+L111+L124+L59+L150+L33</f>
        <v>1446456375.11</v>
      </c>
      <c r="M178" s="33">
        <f>(+K178-L178)/L178</f>
        <v>0.04162316279702614</v>
      </c>
      <c r="N178" s="11"/>
      <c r="R178" s="2"/>
    </row>
    <row r="179" spans="1:18" ht="17.25" thickBot="1" thickTop="1">
      <c r="A179" s="73"/>
      <c r="B179" s="74"/>
      <c r="C179" s="29"/>
      <c r="D179" s="29"/>
      <c r="E179" s="30"/>
      <c r="F179" s="29"/>
      <c r="G179" s="29"/>
      <c r="H179" s="31"/>
      <c r="I179" s="32"/>
      <c r="J179" s="32"/>
      <c r="K179" s="29"/>
      <c r="L179" s="29"/>
      <c r="M179" s="33"/>
      <c r="N179" s="11"/>
      <c r="R179" s="2"/>
    </row>
    <row r="180" spans="1:18" ht="17.25" thickBot="1" thickTop="1">
      <c r="A180" s="73" t="s">
        <v>22</v>
      </c>
      <c r="B180" s="74"/>
      <c r="C180" s="29">
        <f>+C18+C31+C44+C57+C70+C83+C96+C109+C122+C135+C148+C161+C174</f>
        <v>4524657</v>
      </c>
      <c r="D180" s="29">
        <f>+D18+D31+D44+D57+D70+D83+D96+D109+D122+D135+D148+D161+D174</f>
        <v>4622206</v>
      </c>
      <c r="E180" s="30">
        <f>(+C180-D180)/D180</f>
        <v>-0.02110442502995323</v>
      </c>
      <c r="F180" s="29">
        <f>+F18+F31+F44+F57+F70+F83+F96+F109+F122+F135+F148+F161+F174</f>
        <v>2196243</v>
      </c>
      <c r="G180" s="29">
        <f>+G18+G31+G44+G57+G70+G83+G96+G109+G122+G135+G148+G161+G174</f>
        <v>2321424</v>
      </c>
      <c r="H180" s="31">
        <f>(+F180-G180)/G180</f>
        <v>-0.05392422926617455</v>
      </c>
      <c r="I180" s="32">
        <f>K180/C180</f>
        <v>35.16004355026248</v>
      </c>
      <c r="J180" s="32">
        <f>K180/F180</f>
        <v>72.43603607160045</v>
      </c>
      <c r="K180" s="29">
        <f>+K18+K31+K44+K57+K70+K83+K96+K109+K122+K135+K148+K161+K174</f>
        <v>159087137.17</v>
      </c>
      <c r="L180" s="29">
        <f>+L18+L31+L44+L57+L70+L83+L96+L109+L122+L135+L148+L161+L174</f>
        <v>152257237.34</v>
      </c>
      <c r="M180" s="46">
        <f>(+K180-L180)/L180</f>
        <v>0.04485763665045614</v>
      </c>
      <c r="N180" s="11"/>
      <c r="R180" s="2"/>
    </row>
    <row r="181" spans="1:18" ht="15.75" thickTop="1">
      <c r="A181" s="75"/>
      <c r="B181" s="76"/>
      <c r="C181" s="77"/>
      <c r="D181" s="76"/>
      <c r="E181" s="76"/>
      <c r="F181" s="76"/>
      <c r="G181" s="76"/>
      <c r="H181" s="76"/>
      <c r="I181" s="76"/>
      <c r="J181" s="76"/>
      <c r="K181" s="77"/>
      <c r="L181" s="77"/>
      <c r="M181" s="76"/>
      <c r="R181" s="2"/>
    </row>
    <row r="182" spans="1:18" ht="15.75">
      <c r="A182" s="283" t="s">
        <v>68</v>
      </c>
      <c r="B182" s="285"/>
      <c r="C182" s="286"/>
      <c r="D182" s="286"/>
      <c r="E182" s="286"/>
      <c r="F182" s="287"/>
      <c r="G182" s="284"/>
      <c r="H182" s="284"/>
      <c r="I182" s="288"/>
      <c r="J182" s="288"/>
      <c r="K182" s="289"/>
      <c r="L182" s="289"/>
      <c r="M182" s="288"/>
      <c r="R182" s="2"/>
    </row>
    <row r="183" spans="1:18" ht="15.75">
      <c r="A183" s="283" t="s">
        <v>66</v>
      </c>
      <c r="B183" s="285"/>
      <c r="C183" s="286"/>
      <c r="D183" s="286"/>
      <c r="E183" s="286"/>
      <c r="F183" s="287"/>
      <c r="G183" s="284"/>
      <c r="H183" s="284"/>
      <c r="I183" s="288"/>
      <c r="J183" s="288"/>
      <c r="K183" s="289"/>
      <c r="L183" s="289"/>
      <c r="M183" s="288"/>
      <c r="R183" s="2"/>
    </row>
    <row r="184" spans="1:18" ht="18.75">
      <c r="A184" s="293" t="s">
        <v>23</v>
      </c>
      <c r="B184" s="79"/>
      <c r="C184" s="80"/>
      <c r="D184" s="80"/>
      <c r="E184" s="80"/>
      <c r="F184" s="80"/>
      <c r="G184" s="80"/>
      <c r="H184" s="80"/>
      <c r="I184" s="80"/>
      <c r="J184" s="80"/>
      <c r="K184" s="221"/>
      <c r="L184" s="221"/>
      <c r="M184" s="80"/>
      <c r="N184" s="2"/>
      <c r="O184" s="2"/>
      <c r="P184" s="2"/>
      <c r="Q184" s="2"/>
      <c r="R184" s="2"/>
    </row>
    <row r="185" spans="1:18" ht="18">
      <c r="A185" s="78"/>
      <c r="B185" s="79"/>
      <c r="C185" s="80"/>
      <c r="D185" s="80"/>
      <c r="E185" s="80"/>
      <c r="F185" s="80"/>
      <c r="G185" s="80"/>
      <c r="H185" s="80"/>
      <c r="I185" s="80"/>
      <c r="J185" s="80"/>
      <c r="K185" s="221"/>
      <c r="L185" s="221"/>
      <c r="M185" s="80"/>
      <c r="N185" s="2"/>
      <c r="O185" s="2"/>
      <c r="P185" s="2"/>
      <c r="Q185" s="2"/>
      <c r="R185" s="2"/>
    </row>
    <row r="186" spans="1:18" ht="15.75">
      <c r="A186" s="81"/>
      <c r="B186" s="82"/>
      <c r="C186" s="83"/>
      <c r="D186" s="83"/>
      <c r="E186" s="83"/>
      <c r="F186" s="83"/>
      <c r="G186" s="83"/>
      <c r="H186" s="83"/>
      <c r="I186" s="83"/>
      <c r="J186" s="83"/>
      <c r="K186" s="215"/>
      <c r="L186" s="215"/>
      <c r="M186" s="84"/>
      <c r="N186" s="2"/>
      <c r="O186" s="2"/>
      <c r="P186" s="2"/>
      <c r="Q186" s="2"/>
      <c r="R186" s="2"/>
    </row>
    <row r="187" spans="1:18" ht="15">
      <c r="A187" s="2"/>
      <c r="B187" s="82"/>
      <c r="C187" s="83"/>
      <c r="D187" s="83"/>
      <c r="E187" s="83"/>
      <c r="F187" s="83"/>
      <c r="G187" s="83"/>
      <c r="H187" s="83"/>
      <c r="I187" s="83"/>
      <c r="J187" s="83"/>
      <c r="K187" s="215"/>
      <c r="L187" s="215"/>
      <c r="M187" s="84"/>
      <c r="N187" s="2"/>
      <c r="O187" s="2"/>
      <c r="P187" s="2"/>
      <c r="Q187" s="2"/>
      <c r="R187" s="2"/>
    </row>
    <row r="188" spans="1:18" ht="15">
      <c r="A188" s="2"/>
      <c r="B188" s="82"/>
      <c r="C188" s="83"/>
      <c r="D188" s="83"/>
      <c r="E188" s="83"/>
      <c r="F188" s="83"/>
      <c r="G188" s="83"/>
      <c r="H188" s="83"/>
      <c r="I188" s="83"/>
      <c r="J188" s="83"/>
      <c r="K188" s="215"/>
      <c r="L188" s="215"/>
      <c r="M188" s="84"/>
      <c r="N188" s="2"/>
      <c r="O188" s="2"/>
      <c r="P188" s="2"/>
      <c r="Q188" s="2"/>
      <c r="R188" s="2"/>
    </row>
    <row r="189" spans="1:18" ht="15">
      <c r="A189" s="2"/>
      <c r="B189" s="82"/>
      <c r="C189" s="83"/>
      <c r="D189" s="83"/>
      <c r="E189" s="83"/>
      <c r="F189" s="83"/>
      <c r="G189" s="83"/>
      <c r="H189" s="83"/>
      <c r="I189" s="83"/>
      <c r="J189" s="83"/>
      <c r="K189" s="215"/>
      <c r="L189" s="215"/>
      <c r="M189" s="84"/>
      <c r="N189" s="2"/>
      <c r="O189" s="2"/>
      <c r="P189" s="2"/>
      <c r="Q189" s="2"/>
      <c r="R189" s="2"/>
    </row>
    <row r="190" spans="1:18" ht="15">
      <c r="A190" s="2"/>
      <c r="B190" s="82"/>
      <c r="C190" s="83"/>
      <c r="D190" s="83"/>
      <c r="E190" s="83"/>
      <c r="F190" s="83"/>
      <c r="G190" s="83"/>
      <c r="H190" s="83"/>
      <c r="I190" s="83"/>
      <c r="J190" s="83"/>
      <c r="K190" s="215"/>
      <c r="L190" s="215"/>
      <c r="M190" s="84"/>
      <c r="N190" s="2"/>
      <c r="O190" s="2"/>
      <c r="P190" s="2"/>
      <c r="Q190" s="2"/>
      <c r="R190" s="2"/>
    </row>
    <row r="191" spans="1:18" ht="15">
      <c r="A191" s="2"/>
      <c r="B191" s="82"/>
      <c r="C191" s="83"/>
      <c r="D191" s="83"/>
      <c r="E191" s="83"/>
      <c r="F191" s="83"/>
      <c r="G191" s="83"/>
      <c r="H191" s="83"/>
      <c r="I191" s="83"/>
      <c r="J191" s="83"/>
      <c r="K191" s="215"/>
      <c r="L191" s="215"/>
      <c r="M191" s="84"/>
      <c r="N191" s="2"/>
      <c r="O191" s="2"/>
      <c r="P191" s="2"/>
      <c r="Q191" s="2"/>
      <c r="R191" s="2"/>
    </row>
    <row r="192" spans="1:18" ht="15">
      <c r="A192" s="2"/>
      <c r="B192" s="82"/>
      <c r="C192" s="83"/>
      <c r="D192" s="83"/>
      <c r="E192" s="83"/>
      <c r="F192" s="83"/>
      <c r="G192" s="83"/>
      <c r="H192" s="83"/>
      <c r="I192" s="83"/>
      <c r="J192" s="83"/>
      <c r="K192" s="215"/>
      <c r="L192" s="215"/>
      <c r="M192" s="84"/>
      <c r="N192" s="2"/>
      <c r="O192" s="2"/>
      <c r="P192" s="2"/>
      <c r="Q192" s="2"/>
      <c r="R192" s="2"/>
    </row>
    <row r="193" spans="1:18" ht="15">
      <c r="A193" s="2"/>
      <c r="B193" s="82"/>
      <c r="C193" s="83"/>
      <c r="D193" s="83"/>
      <c r="E193" s="83"/>
      <c r="F193" s="83"/>
      <c r="G193" s="83"/>
      <c r="H193" s="83"/>
      <c r="I193" s="83"/>
      <c r="J193" s="83"/>
      <c r="K193" s="215"/>
      <c r="L193" s="215"/>
      <c r="M193" s="84"/>
      <c r="N193" s="2"/>
      <c r="O193" s="2"/>
      <c r="P193" s="2"/>
      <c r="Q193" s="2"/>
      <c r="R193" s="2"/>
    </row>
    <row r="194" spans="1:18" ht="15">
      <c r="A194" s="2"/>
      <c r="B194" s="82"/>
      <c r="C194" s="83"/>
      <c r="D194" s="83"/>
      <c r="E194" s="83"/>
      <c r="F194" s="83"/>
      <c r="G194" s="83"/>
      <c r="H194" s="83"/>
      <c r="I194" s="83"/>
      <c r="J194" s="83"/>
      <c r="K194" s="215"/>
      <c r="L194" s="215"/>
      <c r="M194" s="84"/>
      <c r="N194" s="2"/>
      <c r="O194" s="2"/>
      <c r="P194" s="2"/>
      <c r="Q194" s="2"/>
      <c r="R194" s="2"/>
    </row>
    <row r="195" spans="1:18" ht="15">
      <c r="A195" s="2"/>
      <c r="B195" s="82"/>
      <c r="C195" s="83"/>
      <c r="D195" s="83"/>
      <c r="E195" s="83"/>
      <c r="F195" s="83"/>
      <c r="G195" s="83"/>
      <c r="H195" s="83"/>
      <c r="I195" s="83"/>
      <c r="J195" s="83"/>
      <c r="K195" s="215"/>
      <c r="L195" s="215"/>
      <c r="M195" s="83"/>
      <c r="N195" s="2"/>
      <c r="O195" s="2"/>
      <c r="P195" s="2"/>
      <c r="Q195" s="2"/>
      <c r="R195" s="2"/>
    </row>
    <row r="196" spans="1:18" ht="15">
      <c r="A196" s="2"/>
      <c r="B196" s="82"/>
      <c r="C196" s="83"/>
      <c r="D196" s="83"/>
      <c r="E196" s="83"/>
      <c r="F196" s="83"/>
      <c r="G196" s="83"/>
      <c r="H196" s="83"/>
      <c r="I196" s="83"/>
      <c r="J196" s="83"/>
      <c r="K196" s="215"/>
      <c r="L196" s="215"/>
      <c r="M196" s="83"/>
      <c r="N196" s="2"/>
      <c r="O196" s="2"/>
      <c r="P196" s="2"/>
      <c r="Q196" s="2"/>
      <c r="R196" s="2"/>
    </row>
    <row r="197" spans="1:18" ht="15">
      <c r="A197" s="2"/>
      <c r="B197" s="79"/>
      <c r="C197" s="83"/>
      <c r="D197" s="83"/>
      <c r="E197" s="83"/>
      <c r="F197" s="83"/>
      <c r="G197" s="83"/>
      <c r="H197" s="83"/>
      <c r="I197" s="83"/>
      <c r="J197" s="83"/>
      <c r="K197" s="215"/>
      <c r="L197" s="215"/>
      <c r="M197" s="83"/>
      <c r="N197" s="2"/>
      <c r="O197" s="2"/>
      <c r="P197" s="2"/>
      <c r="Q197" s="2"/>
      <c r="R197" s="2"/>
    </row>
    <row r="198" spans="1:18" ht="15.75">
      <c r="A198" s="85"/>
      <c r="B198" s="79"/>
      <c r="C198" s="83"/>
      <c r="D198" s="83"/>
      <c r="E198" s="83"/>
      <c r="F198" s="83"/>
      <c r="G198" s="83"/>
      <c r="H198" s="83"/>
      <c r="I198" s="83"/>
      <c r="J198" s="83"/>
      <c r="K198" s="215"/>
      <c r="L198" s="215"/>
      <c r="M198" s="84"/>
      <c r="N198" s="2"/>
      <c r="O198" s="2"/>
      <c r="P198" s="2"/>
      <c r="Q198" s="2"/>
      <c r="R198" s="2"/>
    </row>
    <row r="199" spans="1:18" ht="15.75">
      <c r="A199" s="85"/>
      <c r="B199" s="79"/>
      <c r="C199" s="83"/>
      <c r="D199" s="83"/>
      <c r="E199" s="83"/>
      <c r="F199" s="83"/>
      <c r="G199" s="83"/>
      <c r="H199" s="83"/>
      <c r="I199" s="83"/>
      <c r="J199" s="83"/>
      <c r="K199" s="215"/>
      <c r="L199" s="215"/>
      <c r="M199" s="84"/>
      <c r="N199" s="2"/>
      <c r="O199" s="2"/>
      <c r="P199" s="2"/>
      <c r="Q199" s="2"/>
      <c r="R199" s="2"/>
    </row>
    <row r="200" spans="1:18" ht="15.75">
      <c r="A200" s="85"/>
      <c r="B200" s="79"/>
      <c r="C200" s="83"/>
      <c r="D200" s="83"/>
      <c r="E200" s="83"/>
      <c r="F200" s="83"/>
      <c r="G200" s="83"/>
      <c r="H200" s="83"/>
      <c r="I200" s="83"/>
      <c r="J200" s="83"/>
      <c r="K200" s="215"/>
      <c r="L200" s="215"/>
      <c r="M200" s="84"/>
      <c r="N200" s="2"/>
      <c r="O200" s="2"/>
      <c r="P200" s="2"/>
      <c r="Q200" s="2"/>
      <c r="R200" s="2"/>
    </row>
    <row r="201" spans="1:18" ht="15">
      <c r="A201" s="2"/>
      <c r="B201" s="79"/>
      <c r="C201" s="83"/>
      <c r="D201" s="83"/>
      <c r="E201" s="83"/>
      <c r="F201" s="83"/>
      <c r="G201" s="83"/>
      <c r="H201" s="83"/>
      <c r="I201" s="83"/>
      <c r="J201" s="83"/>
      <c r="K201" s="215"/>
      <c r="L201" s="215"/>
      <c r="M201" s="84"/>
      <c r="N201" s="2"/>
      <c r="O201" s="2"/>
      <c r="P201" s="2"/>
      <c r="Q201" s="2"/>
      <c r="R201" s="2"/>
    </row>
    <row r="202" spans="1:18" ht="15.75">
      <c r="A202" s="85"/>
      <c r="B202" s="82"/>
      <c r="C202" s="83"/>
      <c r="D202" s="83"/>
      <c r="E202" s="83"/>
      <c r="F202" s="83"/>
      <c r="G202" s="83"/>
      <c r="H202" s="83"/>
      <c r="I202" s="83"/>
      <c r="J202" s="83"/>
      <c r="K202" s="215"/>
      <c r="L202" s="215"/>
      <c r="M202" s="84"/>
      <c r="N202" s="2"/>
      <c r="O202" s="2"/>
      <c r="P202" s="2"/>
      <c r="Q202" s="2"/>
      <c r="R202" s="2"/>
    </row>
    <row r="203" spans="1:18" ht="15">
      <c r="A203" s="2"/>
      <c r="B203" s="82"/>
      <c r="C203" s="83"/>
      <c r="D203" s="83"/>
      <c r="E203" s="83"/>
      <c r="F203" s="83"/>
      <c r="G203" s="83"/>
      <c r="H203" s="83"/>
      <c r="I203" s="83"/>
      <c r="J203" s="83"/>
      <c r="K203" s="215"/>
      <c r="L203" s="215"/>
      <c r="M203" s="84"/>
      <c r="N203" s="2"/>
      <c r="O203" s="2"/>
      <c r="P203" s="2"/>
      <c r="Q203" s="2"/>
      <c r="R203" s="2"/>
    </row>
    <row r="204" spans="1:18" ht="15">
      <c r="A204" s="2"/>
      <c r="B204" s="82"/>
      <c r="C204" s="83"/>
      <c r="D204" s="83"/>
      <c r="E204" s="83"/>
      <c r="F204" s="83"/>
      <c r="G204" s="83"/>
      <c r="H204" s="83"/>
      <c r="I204" s="83"/>
      <c r="J204" s="83"/>
      <c r="K204" s="215"/>
      <c r="L204" s="215"/>
      <c r="M204" s="84"/>
      <c r="N204" s="2"/>
      <c r="O204" s="2"/>
      <c r="P204" s="2"/>
      <c r="Q204" s="2"/>
      <c r="R204" s="2"/>
    </row>
    <row r="205" spans="1:18" ht="15">
      <c r="A205" s="2"/>
      <c r="B205" s="86"/>
      <c r="C205" s="83"/>
      <c r="D205" s="83"/>
      <c r="E205" s="83"/>
      <c r="F205" s="83"/>
      <c r="G205" s="83"/>
      <c r="H205" s="83"/>
      <c r="I205" s="83"/>
      <c r="J205" s="83"/>
      <c r="K205" s="215"/>
      <c r="L205" s="215"/>
      <c r="M205" s="84"/>
      <c r="N205" s="2"/>
      <c r="O205" s="2"/>
      <c r="P205" s="2"/>
      <c r="Q205" s="2"/>
      <c r="R205" s="2"/>
    </row>
    <row r="206" spans="1:18" ht="15">
      <c r="A206" s="2"/>
      <c r="B206" s="86"/>
      <c r="C206" s="83"/>
      <c r="D206" s="83"/>
      <c r="E206" s="83"/>
      <c r="F206" s="83"/>
      <c r="G206" s="83"/>
      <c r="H206" s="83"/>
      <c r="I206" s="83"/>
      <c r="J206" s="83"/>
      <c r="K206" s="215"/>
      <c r="L206" s="215"/>
      <c r="M206" s="84"/>
      <c r="N206" s="2"/>
      <c r="O206" s="2"/>
      <c r="P206" s="2"/>
      <c r="Q206" s="2"/>
      <c r="R206" s="2"/>
    </row>
    <row r="207" spans="1:18" ht="15">
      <c r="A207" s="2"/>
      <c r="B207" s="86"/>
      <c r="C207" s="83"/>
      <c r="D207" s="83"/>
      <c r="E207" s="83"/>
      <c r="F207" s="83"/>
      <c r="G207" s="83"/>
      <c r="H207" s="83"/>
      <c r="I207" s="83"/>
      <c r="J207" s="83"/>
      <c r="K207" s="215"/>
      <c r="L207" s="215"/>
      <c r="M207" s="84"/>
      <c r="N207" s="2"/>
      <c r="O207" s="2"/>
      <c r="P207" s="2"/>
      <c r="Q207" s="2"/>
      <c r="R207" s="2"/>
    </row>
    <row r="208" spans="1:18" ht="15">
      <c r="A208" s="2"/>
      <c r="B208" s="86"/>
      <c r="C208" s="83"/>
      <c r="D208" s="83"/>
      <c r="E208" s="83"/>
      <c r="F208" s="83"/>
      <c r="G208" s="83"/>
      <c r="H208" s="83"/>
      <c r="I208" s="83"/>
      <c r="J208" s="83"/>
      <c r="K208" s="215"/>
      <c r="L208" s="215"/>
      <c r="M208" s="84"/>
      <c r="N208" s="2"/>
      <c r="O208" s="2"/>
      <c r="P208" s="2"/>
      <c r="Q208" s="2"/>
      <c r="R208" s="2"/>
    </row>
    <row r="209" spans="1:18" ht="15">
      <c r="A209" s="2"/>
      <c r="B209" s="86"/>
      <c r="C209" s="83"/>
      <c r="D209" s="83"/>
      <c r="E209" s="83"/>
      <c r="F209" s="83"/>
      <c r="G209" s="83"/>
      <c r="H209" s="83"/>
      <c r="I209" s="83"/>
      <c r="J209" s="83"/>
      <c r="K209" s="215"/>
      <c r="L209" s="215"/>
      <c r="M209" s="84"/>
      <c r="N209" s="2"/>
      <c r="O209" s="2"/>
      <c r="P209" s="2"/>
      <c r="Q209" s="2"/>
      <c r="R209" s="2"/>
    </row>
    <row r="210" spans="1:18" ht="15">
      <c r="A210" s="2"/>
      <c r="B210" s="86"/>
      <c r="C210" s="83"/>
      <c r="D210" s="83"/>
      <c r="E210" s="83"/>
      <c r="F210" s="83"/>
      <c r="G210" s="83"/>
      <c r="H210" s="83"/>
      <c r="I210" s="83"/>
      <c r="J210" s="83"/>
      <c r="K210" s="215"/>
      <c r="L210" s="215"/>
      <c r="M210" s="84"/>
      <c r="N210" s="2"/>
      <c r="O210" s="2"/>
      <c r="P210" s="2"/>
      <c r="Q210" s="2"/>
      <c r="R210" s="2"/>
    </row>
    <row r="211" spans="1:18" ht="15">
      <c r="A211" s="2"/>
      <c r="B211" s="86"/>
      <c r="C211" s="83"/>
      <c r="D211" s="83"/>
      <c r="E211" s="83"/>
      <c r="F211" s="83"/>
      <c r="G211" s="83"/>
      <c r="H211" s="83"/>
      <c r="I211" s="83"/>
      <c r="J211" s="83"/>
      <c r="K211" s="215"/>
      <c r="L211" s="215"/>
      <c r="M211" s="84"/>
      <c r="N211" s="2"/>
      <c r="O211" s="2"/>
      <c r="P211" s="2"/>
      <c r="Q211" s="2"/>
      <c r="R211" s="2"/>
    </row>
    <row r="212" spans="1:18" ht="15">
      <c r="A212" s="2"/>
      <c r="B212" s="86"/>
      <c r="C212" s="83"/>
      <c r="D212" s="83"/>
      <c r="E212" s="83"/>
      <c r="F212" s="83"/>
      <c r="G212" s="83"/>
      <c r="H212" s="83"/>
      <c r="I212" s="83"/>
      <c r="J212" s="83"/>
      <c r="K212" s="215"/>
      <c r="L212" s="215"/>
      <c r="M212" s="84"/>
      <c r="N212" s="2"/>
      <c r="O212" s="2"/>
      <c r="P212" s="2"/>
      <c r="Q212" s="2"/>
      <c r="R212" s="2"/>
    </row>
    <row r="213" spans="1:18" ht="15">
      <c r="A213" s="2"/>
      <c r="B213" s="86"/>
      <c r="C213" s="83"/>
      <c r="D213" s="83"/>
      <c r="E213" s="83"/>
      <c r="F213" s="83"/>
      <c r="G213" s="83"/>
      <c r="H213" s="83"/>
      <c r="I213" s="83"/>
      <c r="J213" s="83"/>
      <c r="K213" s="215"/>
      <c r="L213" s="215"/>
      <c r="M213" s="84"/>
      <c r="N213" s="2"/>
      <c r="O213" s="2"/>
      <c r="P213" s="2"/>
      <c r="Q213" s="2"/>
      <c r="R213" s="2"/>
    </row>
    <row r="214" spans="1:18" ht="15">
      <c r="A214" s="2"/>
      <c r="B214" s="2"/>
      <c r="C214" s="83"/>
      <c r="D214" s="83"/>
      <c r="E214" s="83"/>
      <c r="F214" s="83"/>
      <c r="G214" s="83"/>
      <c r="H214" s="83"/>
      <c r="I214" s="83"/>
      <c r="J214" s="83"/>
      <c r="K214" s="215"/>
      <c r="L214" s="215"/>
      <c r="M214" s="84"/>
      <c r="N214" s="2"/>
      <c r="O214" s="2"/>
      <c r="P214" s="2"/>
      <c r="Q214" s="2"/>
      <c r="R214" s="2"/>
    </row>
    <row r="215" spans="1:18" ht="15.75">
      <c r="A215" s="85"/>
      <c r="B215" s="2"/>
      <c r="C215" s="83"/>
      <c r="D215" s="83"/>
      <c r="E215" s="83"/>
      <c r="F215" s="83"/>
      <c r="G215" s="83"/>
      <c r="H215" s="83"/>
      <c r="I215" s="83"/>
      <c r="J215" s="83"/>
      <c r="K215" s="215"/>
      <c r="L215" s="215"/>
      <c r="M215" s="84"/>
      <c r="N215" s="2"/>
      <c r="O215" s="2"/>
      <c r="P215" s="2"/>
      <c r="Q215" s="2"/>
      <c r="R215" s="2"/>
    </row>
    <row r="216" spans="1:18" ht="15">
      <c r="A216" s="2"/>
      <c r="B216" s="2"/>
      <c r="C216" s="83"/>
      <c r="D216" s="83"/>
      <c r="E216" s="83"/>
      <c r="F216" s="83"/>
      <c r="G216" s="83"/>
      <c r="H216" s="83"/>
      <c r="I216" s="83"/>
      <c r="J216" s="83"/>
      <c r="K216" s="215"/>
      <c r="L216" s="215"/>
      <c r="M216" s="84"/>
      <c r="N216" s="2"/>
      <c r="O216" s="2"/>
      <c r="P216" s="2"/>
      <c r="Q216" s="2"/>
      <c r="R216" s="2"/>
    </row>
    <row r="217" spans="1:18" ht="15">
      <c r="A217" s="2"/>
      <c r="B217" s="2"/>
      <c r="C217" s="83"/>
      <c r="D217" s="83"/>
      <c r="E217" s="83"/>
      <c r="F217" s="83"/>
      <c r="G217" s="83"/>
      <c r="H217" s="83"/>
      <c r="I217" s="83"/>
      <c r="J217" s="83"/>
      <c r="K217" s="215"/>
      <c r="L217" s="215"/>
      <c r="M217" s="84"/>
      <c r="N217" s="2"/>
      <c r="O217" s="2"/>
      <c r="P217" s="2"/>
      <c r="Q217" s="2"/>
      <c r="R217" s="2"/>
    </row>
    <row r="218" spans="1:18" ht="15.75">
      <c r="A218" s="85"/>
      <c r="B218" s="2"/>
      <c r="C218" s="83"/>
      <c r="D218" s="83"/>
      <c r="E218" s="83"/>
      <c r="F218" s="83"/>
      <c r="G218" s="83"/>
      <c r="H218" s="83"/>
      <c r="I218" s="83"/>
      <c r="J218" s="83"/>
      <c r="K218" s="215"/>
      <c r="L218" s="215"/>
      <c r="M218" s="84"/>
      <c r="N218" s="2"/>
      <c r="O218" s="2"/>
      <c r="P218" s="2"/>
      <c r="Q218" s="2"/>
      <c r="R218" s="2"/>
    </row>
    <row r="219" spans="1:18" ht="15.75">
      <c r="A219" s="85"/>
      <c r="B219" s="2"/>
      <c r="C219" s="83"/>
      <c r="D219" s="83"/>
      <c r="E219" s="83"/>
      <c r="F219" s="83"/>
      <c r="G219" s="83"/>
      <c r="H219" s="83"/>
      <c r="I219" s="83"/>
      <c r="J219" s="83"/>
      <c r="K219" s="215"/>
      <c r="L219" s="215"/>
      <c r="M219" s="84"/>
      <c r="N219" s="2"/>
      <c r="O219" s="2"/>
      <c r="P219" s="2"/>
      <c r="Q219" s="2"/>
      <c r="R219" s="2"/>
    </row>
    <row r="220" spans="1:18" ht="15.75">
      <c r="A220" s="85"/>
      <c r="B220" s="86"/>
      <c r="C220" s="83"/>
      <c r="D220" s="83"/>
      <c r="E220" s="83"/>
      <c r="F220" s="83"/>
      <c r="G220" s="83"/>
      <c r="H220" s="83"/>
      <c r="I220" s="83"/>
      <c r="J220" s="83"/>
      <c r="K220" s="215"/>
      <c r="L220" s="215"/>
      <c r="M220" s="84"/>
      <c r="N220" s="2"/>
      <c r="O220" s="2"/>
      <c r="P220" s="2"/>
      <c r="Q220" s="2"/>
      <c r="R220" s="2"/>
    </row>
    <row r="221" spans="1:18" ht="15">
      <c r="A221" s="2"/>
      <c r="B221" s="86"/>
      <c r="C221" s="83"/>
      <c r="D221" s="83"/>
      <c r="E221" s="83"/>
      <c r="F221" s="83"/>
      <c r="G221" s="83"/>
      <c r="H221" s="83"/>
      <c r="I221" s="83"/>
      <c r="J221" s="83"/>
      <c r="K221" s="215"/>
      <c r="L221" s="215"/>
      <c r="M221" s="84"/>
      <c r="N221" s="2"/>
      <c r="O221" s="2"/>
      <c r="P221" s="2"/>
      <c r="Q221" s="2"/>
      <c r="R221" s="2"/>
    </row>
    <row r="222" spans="1:18" ht="15">
      <c r="A222" s="2"/>
      <c r="B222" s="86"/>
      <c r="C222" s="83"/>
      <c r="D222" s="83"/>
      <c r="E222" s="83"/>
      <c r="F222" s="83"/>
      <c r="G222" s="83"/>
      <c r="H222" s="83"/>
      <c r="I222" s="83"/>
      <c r="J222" s="83"/>
      <c r="K222" s="215"/>
      <c r="L222" s="215"/>
      <c r="M222" s="84"/>
      <c r="N222" s="2"/>
      <c r="O222" s="2"/>
      <c r="P222" s="2"/>
      <c r="Q222" s="2"/>
      <c r="R222" s="2"/>
    </row>
    <row r="223" spans="1:18" ht="15">
      <c r="A223" s="2"/>
      <c r="B223" s="86"/>
      <c r="C223" s="83"/>
      <c r="D223" s="83"/>
      <c r="E223" s="83"/>
      <c r="F223" s="83"/>
      <c r="G223" s="83"/>
      <c r="H223" s="83"/>
      <c r="I223" s="83"/>
      <c r="J223" s="83"/>
      <c r="K223" s="215"/>
      <c r="L223" s="215"/>
      <c r="M223" s="84"/>
      <c r="N223" s="2"/>
      <c r="O223" s="2"/>
      <c r="P223" s="2"/>
      <c r="Q223" s="2"/>
      <c r="R223" s="2"/>
    </row>
    <row r="224" spans="1:18" ht="15">
      <c r="A224" s="2"/>
      <c r="B224" s="86"/>
      <c r="C224" s="83"/>
      <c r="D224" s="83"/>
      <c r="E224" s="83"/>
      <c r="F224" s="83"/>
      <c r="G224" s="83"/>
      <c r="H224" s="83"/>
      <c r="I224" s="83"/>
      <c r="J224" s="83"/>
      <c r="K224" s="215"/>
      <c r="L224" s="215"/>
      <c r="M224" s="84"/>
      <c r="N224" s="2"/>
      <c r="O224" s="2"/>
      <c r="P224" s="2"/>
      <c r="Q224" s="2"/>
      <c r="R224" s="2"/>
    </row>
    <row r="225" spans="1:18" ht="15">
      <c r="A225" s="2"/>
      <c r="B225" s="86"/>
      <c r="C225" s="83"/>
      <c r="D225" s="83"/>
      <c r="E225" s="83"/>
      <c r="F225" s="83"/>
      <c r="G225" s="83"/>
      <c r="H225" s="83"/>
      <c r="I225" s="83"/>
      <c r="J225" s="83"/>
      <c r="K225" s="215"/>
      <c r="L225" s="215"/>
      <c r="M225" s="84"/>
      <c r="N225" s="2"/>
      <c r="O225" s="2"/>
      <c r="P225" s="2"/>
      <c r="Q225" s="2"/>
      <c r="R225" s="2"/>
    </row>
    <row r="226" spans="1:18" ht="15">
      <c r="A226" s="2"/>
      <c r="B226" s="86"/>
      <c r="C226" s="83"/>
      <c r="D226" s="83"/>
      <c r="E226" s="83"/>
      <c r="F226" s="83"/>
      <c r="G226" s="83"/>
      <c r="H226" s="83"/>
      <c r="I226" s="83"/>
      <c r="J226" s="83"/>
      <c r="K226" s="215"/>
      <c r="L226" s="215"/>
      <c r="M226" s="84"/>
      <c r="N226" s="2"/>
      <c r="O226" s="2"/>
      <c r="P226" s="2"/>
      <c r="Q226" s="2"/>
      <c r="R226" s="2"/>
    </row>
    <row r="227" spans="1:18" ht="15">
      <c r="A227" s="2"/>
      <c r="B227" s="86"/>
      <c r="C227" s="83"/>
      <c r="D227" s="83"/>
      <c r="E227" s="83"/>
      <c r="F227" s="83"/>
      <c r="G227" s="83"/>
      <c r="H227" s="83"/>
      <c r="I227" s="83"/>
      <c r="J227" s="83"/>
      <c r="K227" s="215"/>
      <c r="L227" s="215"/>
      <c r="M227" s="84"/>
      <c r="N227" s="2"/>
      <c r="O227" s="2"/>
      <c r="P227" s="2"/>
      <c r="Q227" s="2"/>
      <c r="R227" s="2"/>
    </row>
    <row r="228" spans="1:18" ht="15">
      <c r="A228" s="2"/>
      <c r="B228" s="86"/>
      <c r="C228" s="83"/>
      <c r="D228" s="83"/>
      <c r="E228" s="83"/>
      <c r="F228" s="83"/>
      <c r="G228" s="83"/>
      <c r="H228" s="83"/>
      <c r="I228" s="83"/>
      <c r="J228" s="83"/>
      <c r="K228" s="215"/>
      <c r="L228" s="215"/>
      <c r="M228" s="84"/>
      <c r="N228" s="2"/>
      <c r="O228" s="2"/>
      <c r="P228" s="2"/>
      <c r="Q228" s="2"/>
      <c r="R228" s="2"/>
    </row>
    <row r="229" spans="1:18" ht="15">
      <c r="A229" s="2"/>
      <c r="B229" s="86"/>
      <c r="C229" s="83"/>
      <c r="D229" s="83"/>
      <c r="E229" s="83"/>
      <c r="F229" s="83"/>
      <c r="G229" s="83"/>
      <c r="H229" s="83"/>
      <c r="I229" s="83"/>
      <c r="J229" s="83"/>
      <c r="K229" s="215"/>
      <c r="L229" s="215"/>
      <c r="M229" s="84"/>
      <c r="N229" s="2"/>
      <c r="O229" s="2"/>
      <c r="P229" s="2"/>
      <c r="Q229" s="2"/>
      <c r="R229" s="2"/>
    </row>
    <row r="230" spans="1:18" ht="15">
      <c r="A230" s="2"/>
      <c r="B230" s="86"/>
      <c r="C230" s="83"/>
      <c r="D230" s="83"/>
      <c r="E230" s="83"/>
      <c r="F230" s="83"/>
      <c r="G230" s="83"/>
      <c r="H230" s="83"/>
      <c r="I230" s="83"/>
      <c r="J230" s="83"/>
      <c r="K230" s="215"/>
      <c r="L230" s="215"/>
      <c r="M230" s="84"/>
      <c r="N230" s="2"/>
      <c r="O230" s="2"/>
      <c r="P230" s="2"/>
      <c r="Q230" s="2"/>
      <c r="R230" s="2"/>
    </row>
    <row r="231" spans="1:18" ht="15">
      <c r="A231" s="2"/>
      <c r="B231" s="86"/>
      <c r="C231" s="83"/>
      <c r="D231" s="83"/>
      <c r="E231" s="83"/>
      <c r="F231" s="83"/>
      <c r="G231" s="83"/>
      <c r="H231" s="83"/>
      <c r="I231" s="83"/>
      <c r="J231" s="83"/>
      <c r="K231" s="215"/>
      <c r="L231" s="215"/>
      <c r="M231" s="84"/>
      <c r="N231" s="2"/>
      <c r="O231" s="2"/>
      <c r="P231" s="2"/>
      <c r="Q231" s="2"/>
      <c r="R231" s="2"/>
    </row>
    <row r="232" spans="1:18" ht="15">
      <c r="A232" s="2"/>
      <c r="B232" s="2"/>
      <c r="C232" s="83"/>
      <c r="D232" s="83"/>
      <c r="E232" s="83"/>
      <c r="F232" s="83"/>
      <c r="G232" s="83"/>
      <c r="H232" s="83"/>
      <c r="I232" s="83"/>
      <c r="J232" s="83"/>
      <c r="K232" s="215"/>
      <c r="L232" s="215"/>
      <c r="M232" s="84"/>
      <c r="N232" s="2"/>
      <c r="O232" s="2"/>
      <c r="P232" s="2"/>
      <c r="Q232" s="2"/>
      <c r="R232" s="2"/>
    </row>
    <row r="233" spans="1:18" ht="15.75">
      <c r="A233" s="85"/>
      <c r="B233" s="2"/>
      <c r="C233" s="83"/>
      <c r="D233" s="83"/>
      <c r="E233" s="83"/>
      <c r="F233" s="83"/>
      <c r="G233" s="83"/>
      <c r="H233" s="83"/>
      <c r="I233" s="83"/>
      <c r="J233" s="83"/>
      <c r="K233" s="215"/>
      <c r="L233" s="215"/>
      <c r="M233" s="84"/>
      <c r="N233" s="2"/>
      <c r="O233" s="2"/>
      <c r="P233" s="2"/>
      <c r="Q233" s="2"/>
      <c r="R233" s="2"/>
    </row>
    <row r="234" spans="1:18" ht="15">
      <c r="A234" s="2"/>
      <c r="B234" s="2"/>
      <c r="C234" s="83"/>
      <c r="D234" s="83"/>
      <c r="E234" s="83"/>
      <c r="F234" s="83"/>
      <c r="G234" s="83"/>
      <c r="H234" s="83"/>
      <c r="I234" s="83"/>
      <c r="J234" s="83"/>
      <c r="K234" s="215"/>
      <c r="L234" s="215"/>
      <c r="M234" s="84"/>
      <c r="N234" s="2"/>
      <c r="O234" s="2"/>
      <c r="P234" s="2"/>
      <c r="Q234" s="2"/>
      <c r="R234" s="2"/>
    </row>
    <row r="235" spans="1:18" ht="15">
      <c r="A235" s="2"/>
      <c r="B235" s="2"/>
      <c r="C235" s="83"/>
      <c r="D235" s="83"/>
      <c r="E235" s="83"/>
      <c r="F235" s="83"/>
      <c r="G235" s="83"/>
      <c r="H235" s="83"/>
      <c r="I235" s="83"/>
      <c r="J235" s="83"/>
      <c r="K235" s="215"/>
      <c r="L235" s="215"/>
      <c r="M235" s="84"/>
      <c r="N235" s="2"/>
      <c r="O235" s="2"/>
      <c r="P235" s="2"/>
      <c r="Q235" s="2"/>
      <c r="R235" s="2"/>
    </row>
    <row r="236" spans="1:18" ht="15.75">
      <c r="A236" s="85"/>
      <c r="B236" s="86"/>
      <c r="C236" s="83"/>
      <c r="D236" s="83"/>
      <c r="E236" s="83"/>
      <c r="F236" s="83"/>
      <c r="G236" s="83"/>
      <c r="H236" s="83"/>
      <c r="I236" s="83"/>
      <c r="J236" s="83"/>
      <c r="K236" s="215"/>
      <c r="L236" s="215"/>
      <c r="M236" s="84"/>
      <c r="N236" s="2"/>
      <c r="O236" s="2"/>
      <c r="P236" s="2"/>
      <c r="Q236" s="2"/>
      <c r="R236" s="2"/>
    </row>
    <row r="237" spans="1:18" ht="15">
      <c r="A237" s="2"/>
      <c r="B237" s="86"/>
      <c r="C237" s="83"/>
      <c r="D237" s="83"/>
      <c r="E237" s="83"/>
      <c r="F237" s="83"/>
      <c r="G237" s="83"/>
      <c r="H237" s="83"/>
      <c r="I237" s="83"/>
      <c r="J237" s="83"/>
      <c r="K237" s="215"/>
      <c r="L237" s="215"/>
      <c r="M237" s="84"/>
      <c r="N237" s="2"/>
      <c r="O237" s="2"/>
      <c r="P237" s="2"/>
      <c r="Q237" s="2"/>
      <c r="R237" s="2"/>
    </row>
    <row r="238" spans="1:18" ht="15">
      <c r="A238" s="2"/>
      <c r="B238" s="86"/>
      <c r="C238" s="83"/>
      <c r="D238" s="83"/>
      <c r="E238" s="83"/>
      <c r="F238" s="83"/>
      <c r="G238" s="83"/>
      <c r="H238" s="83"/>
      <c r="I238" s="83"/>
      <c r="J238" s="83"/>
      <c r="K238" s="215"/>
      <c r="L238" s="215"/>
      <c r="M238" s="84"/>
      <c r="N238" s="2"/>
      <c r="O238" s="2"/>
      <c r="P238" s="2"/>
      <c r="Q238" s="2"/>
      <c r="R238" s="2"/>
    </row>
    <row r="239" spans="1:18" ht="15">
      <c r="A239" s="2"/>
      <c r="B239" s="2"/>
      <c r="C239" s="83"/>
      <c r="D239" s="83"/>
      <c r="E239" s="83"/>
      <c r="F239" s="83"/>
      <c r="G239" s="83"/>
      <c r="H239" s="83"/>
      <c r="I239" s="83"/>
      <c r="J239" s="83"/>
      <c r="K239" s="215"/>
      <c r="L239" s="215"/>
      <c r="M239" s="84"/>
      <c r="N239" s="2"/>
      <c r="O239" s="2"/>
      <c r="P239" s="2"/>
      <c r="Q239" s="2"/>
      <c r="R239" s="2"/>
    </row>
    <row r="240" spans="1:18" ht="15">
      <c r="A240" s="2"/>
      <c r="B240" s="2"/>
      <c r="C240" s="83"/>
      <c r="D240" s="83"/>
      <c r="E240" s="83"/>
      <c r="F240" s="83"/>
      <c r="G240" s="83"/>
      <c r="H240" s="83"/>
      <c r="I240" s="83"/>
      <c r="J240" s="83"/>
      <c r="K240" s="215"/>
      <c r="L240" s="215"/>
      <c r="M240" s="84"/>
      <c r="N240" s="2"/>
      <c r="O240" s="2"/>
      <c r="P240" s="2"/>
      <c r="Q240" s="2"/>
      <c r="R240" s="2"/>
    </row>
    <row r="241" spans="1:18" ht="15">
      <c r="A241" s="2"/>
      <c r="B241" s="2"/>
      <c r="C241" s="83"/>
      <c r="D241" s="83"/>
      <c r="E241" s="83"/>
      <c r="F241" s="83"/>
      <c r="G241" s="83"/>
      <c r="H241" s="83"/>
      <c r="I241" s="83"/>
      <c r="J241" s="83"/>
      <c r="K241" s="215"/>
      <c r="L241" s="215"/>
      <c r="M241" s="84"/>
      <c r="N241" s="2"/>
      <c r="O241" s="2"/>
      <c r="P241" s="2"/>
      <c r="Q241" s="2"/>
      <c r="R241" s="2"/>
    </row>
    <row r="242" spans="1:18" ht="15.75">
      <c r="A242" s="85"/>
      <c r="B242" s="2"/>
      <c r="C242" s="83"/>
      <c r="D242" s="83"/>
      <c r="E242" s="83"/>
      <c r="F242" s="83"/>
      <c r="G242" s="83"/>
      <c r="H242" s="83"/>
      <c r="I242" s="83"/>
      <c r="J242" s="83"/>
      <c r="K242" s="215"/>
      <c r="L242" s="215"/>
      <c r="M242" s="84"/>
      <c r="N242" s="2"/>
      <c r="O242" s="2"/>
      <c r="P242" s="2"/>
      <c r="Q242" s="2"/>
      <c r="R242" s="2"/>
    </row>
    <row r="243" spans="1:18" ht="15">
      <c r="A243" s="2"/>
      <c r="B243" s="2"/>
      <c r="C243" s="83"/>
      <c r="D243" s="83"/>
      <c r="E243" s="83"/>
      <c r="F243" s="83"/>
      <c r="G243" s="83"/>
      <c r="H243" s="83"/>
      <c r="I243" s="83"/>
      <c r="J243" s="83"/>
      <c r="K243" s="215"/>
      <c r="L243" s="215"/>
      <c r="M243" s="84"/>
      <c r="N243" s="2"/>
      <c r="O243" s="2"/>
      <c r="P243" s="2"/>
      <c r="Q243" s="2"/>
      <c r="R243" s="2"/>
    </row>
    <row r="244" spans="1:18" ht="15">
      <c r="A244" s="2"/>
      <c r="B244" s="2"/>
      <c r="C244" s="83"/>
      <c r="D244" s="83"/>
      <c r="E244" s="83"/>
      <c r="F244" s="83"/>
      <c r="G244" s="83"/>
      <c r="H244" s="83"/>
      <c r="I244" s="83"/>
      <c r="J244" s="83"/>
      <c r="K244" s="215"/>
      <c r="L244" s="215"/>
      <c r="M244" s="84"/>
      <c r="N244" s="2"/>
      <c r="O244" s="2"/>
      <c r="P244" s="2"/>
      <c r="Q244" s="2"/>
      <c r="R244" s="2"/>
    </row>
    <row r="245" spans="1:18" ht="15.75">
      <c r="A245" s="85"/>
      <c r="B245" s="85"/>
      <c r="C245" s="83"/>
      <c r="D245" s="83"/>
      <c r="E245" s="83"/>
      <c r="F245" s="83"/>
      <c r="G245" s="83"/>
      <c r="H245" s="83"/>
      <c r="I245" s="83"/>
      <c r="J245" s="83"/>
      <c r="K245" s="215"/>
      <c r="L245" s="215"/>
      <c r="M245" s="84"/>
      <c r="N245" s="2"/>
      <c r="O245" s="2"/>
      <c r="P245" s="2"/>
      <c r="Q245" s="2"/>
      <c r="R245" s="2"/>
    </row>
    <row r="246" spans="1:18" ht="15">
      <c r="A246" s="2"/>
      <c r="B246" s="2"/>
      <c r="C246" s="83"/>
      <c r="D246" s="83"/>
      <c r="E246" s="83"/>
      <c r="F246" s="83"/>
      <c r="G246" s="83"/>
      <c r="H246" s="83"/>
      <c r="I246" s="83"/>
      <c r="J246" s="83"/>
      <c r="K246" s="215"/>
      <c r="L246" s="215"/>
      <c r="M246" s="84"/>
      <c r="N246" s="2"/>
      <c r="O246" s="2"/>
      <c r="P246" s="2"/>
      <c r="Q246" s="2"/>
      <c r="R246" s="2"/>
    </row>
    <row r="247" spans="1:18" ht="15">
      <c r="A247" s="2"/>
      <c r="B247" s="2"/>
      <c r="C247" s="83"/>
      <c r="D247" s="83"/>
      <c r="E247" s="83"/>
      <c r="F247" s="83"/>
      <c r="G247" s="83"/>
      <c r="H247" s="83"/>
      <c r="I247" s="83"/>
      <c r="J247" s="83"/>
      <c r="K247" s="215"/>
      <c r="L247" s="215"/>
      <c r="M247" s="84"/>
      <c r="N247" s="2"/>
      <c r="O247" s="2"/>
      <c r="P247" s="2"/>
      <c r="Q247" s="2"/>
      <c r="R247" s="2"/>
    </row>
    <row r="248" spans="1:18" ht="15">
      <c r="A248" s="2"/>
      <c r="B248" s="2"/>
      <c r="C248" s="83"/>
      <c r="D248" s="83"/>
      <c r="E248" s="83"/>
      <c r="F248" s="83"/>
      <c r="G248" s="83"/>
      <c r="H248" s="83"/>
      <c r="I248" s="83"/>
      <c r="J248" s="83"/>
      <c r="K248" s="215"/>
      <c r="L248" s="215"/>
      <c r="M248" s="84"/>
      <c r="N248" s="2"/>
      <c r="O248" s="2"/>
      <c r="P248" s="2"/>
      <c r="Q248" s="2"/>
      <c r="R248" s="2"/>
    </row>
    <row r="249" spans="1:18" ht="15">
      <c r="A249" s="2"/>
      <c r="B249" s="2"/>
      <c r="C249" s="83"/>
      <c r="D249" s="83"/>
      <c r="E249" s="83"/>
      <c r="F249" s="83"/>
      <c r="G249" s="83"/>
      <c r="H249" s="83"/>
      <c r="I249" s="83"/>
      <c r="J249" s="83"/>
      <c r="K249" s="215"/>
      <c r="L249" s="215"/>
      <c r="M249" s="84"/>
      <c r="N249" s="2"/>
      <c r="O249" s="2"/>
      <c r="P249" s="2"/>
      <c r="Q249" s="2"/>
      <c r="R249" s="2"/>
    </row>
    <row r="250" spans="1:18" ht="15">
      <c r="A250" s="2"/>
      <c r="B250" s="2"/>
      <c r="C250" s="83"/>
      <c r="D250" s="83"/>
      <c r="E250" s="83"/>
      <c r="F250" s="83"/>
      <c r="G250" s="83"/>
      <c r="H250" s="83"/>
      <c r="I250" s="83"/>
      <c r="J250" s="83"/>
      <c r="K250" s="215"/>
      <c r="L250" s="215"/>
      <c r="M250" s="84"/>
      <c r="N250" s="2"/>
      <c r="O250" s="2"/>
      <c r="P250" s="2"/>
      <c r="Q250" s="2"/>
      <c r="R250" s="2"/>
    </row>
    <row r="251" spans="1:18" ht="15">
      <c r="A251" s="2"/>
      <c r="B251" s="2"/>
      <c r="C251" s="83"/>
      <c r="D251" s="83"/>
      <c r="E251" s="83"/>
      <c r="F251" s="83"/>
      <c r="G251" s="83"/>
      <c r="H251" s="83"/>
      <c r="I251" s="83"/>
      <c r="J251" s="83"/>
      <c r="K251" s="215"/>
      <c r="L251" s="215"/>
      <c r="M251" s="84"/>
      <c r="N251" s="2"/>
      <c r="O251" s="2"/>
      <c r="P251" s="2"/>
      <c r="Q251" s="2"/>
      <c r="R251" s="2"/>
    </row>
    <row r="252" spans="1:18" ht="15">
      <c r="A252" s="2"/>
      <c r="B252" s="2"/>
      <c r="C252" s="83"/>
      <c r="D252" s="83"/>
      <c r="E252" s="83"/>
      <c r="F252" s="83"/>
      <c r="G252" s="83"/>
      <c r="H252" s="83"/>
      <c r="I252" s="83"/>
      <c r="J252" s="83"/>
      <c r="K252" s="215"/>
      <c r="L252" s="215"/>
      <c r="M252" s="84"/>
      <c r="N252" s="2"/>
      <c r="O252" s="2"/>
      <c r="P252" s="2"/>
      <c r="Q252" s="2"/>
      <c r="R252" s="2"/>
    </row>
    <row r="253" spans="1:18" ht="15">
      <c r="A253" s="2"/>
      <c r="B253" s="2"/>
      <c r="C253" s="83"/>
      <c r="D253" s="83"/>
      <c r="E253" s="83"/>
      <c r="F253" s="83"/>
      <c r="G253" s="83"/>
      <c r="H253" s="83"/>
      <c r="I253" s="83"/>
      <c r="J253" s="83"/>
      <c r="K253" s="215"/>
      <c r="L253" s="215"/>
      <c r="M253" s="84"/>
      <c r="N253" s="2"/>
      <c r="O253" s="2"/>
      <c r="P253" s="2"/>
      <c r="Q253" s="2"/>
      <c r="R253" s="2"/>
    </row>
    <row r="254" spans="1:18" ht="15">
      <c r="A254" s="2"/>
      <c r="B254" s="2"/>
      <c r="C254" s="83"/>
      <c r="D254" s="83"/>
      <c r="E254" s="83"/>
      <c r="F254" s="83"/>
      <c r="G254" s="83"/>
      <c r="H254" s="83"/>
      <c r="I254" s="83"/>
      <c r="J254" s="83"/>
      <c r="K254" s="215"/>
      <c r="L254" s="215"/>
      <c r="M254" s="84"/>
      <c r="N254" s="2"/>
      <c r="O254" s="2"/>
      <c r="P254" s="2"/>
      <c r="Q254" s="2"/>
      <c r="R254" s="2"/>
    </row>
    <row r="255" spans="1:18" ht="15">
      <c r="A255" s="2"/>
      <c r="B255" s="2"/>
      <c r="C255" s="83"/>
      <c r="D255" s="83"/>
      <c r="E255" s="83"/>
      <c r="F255" s="83"/>
      <c r="G255" s="83"/>
      <c r="H255" s="83"/>
      <c r="I255" s="83"/>
      <c r="J255" s="83"/>
      <c r="K255" s="215"/>
      <c r="L255" s="215"/>
      <c r="M255" s="84"/>
      <c r="N255" s="2"/>
      <c r="O255" s="2"/>
      <c r="P255" s="2"/>
      <c r="Q255" s="2"/>
      <c r="R255" s="2"/>
    </row>
    <row r="256" spans="1:18" ht="15">
      <c r="A256" s="2"/>
      <c r="B256" s="2"/>
      <c r="C256" s="83"/>
      <c r="D256" s="83"/>
      <c r="E256" s="83"/>
      <c r="F256" s="83"/>
      <c r="G256" s="83"/>
      <c r="H256" s="83"/>
      <c r="I256" s="83"/>
      <c r="J256" s="83"/>
      <c r="K256" s="215"/>
      <c r="L256" s="215"/>
      <c r="M256" s="84"/>
      <c r="N256" s="2"/>
      <c r="O256" s="2"/>
      <c r="P256" s="2"/>
      <c r="Q256" s="2"/>
      <c r="R256" s="2"/>
    </row>
    <row r="257" spans="1:18" ht="15">
      <c r="A257" s="2"/>
      <c r="B257" s="2"/>
      <c r="C257" s="83"/>
      <c r="D257" s="83"/>
      <c r="E257" s="83"/>
      <c r="F257" s="83"/>
      <c r="G257" s="83"/>
      <c r="H257" s="83"/>
      <c r="I257" s="83"/>
      <c r="J257" s="83"/>
      <c r="K257" s="215"/>
      <c r="L257" s="215"/>
      <c r="M257" s="84"/>
      <c r="N257" s="2"/>
      <c r="O257" s="2"/>
      <c r="P257" s="2"/>
      <c r="Q257" s="2"/>
      <c r="R257" s="2"/>
    </row>
    <row r="258" spans="1:18" ht="15">
      <c r="A258" s="2"/>
      <c r="B258" s="2"/>
      <c r="C258" s="83"/>
      <c r="D258" s="83"/>
      <c r="E258" s="83"/>
      <c r="F258" s="83"/>
      <c r="G258" s="83"/>
      <c r="H258" s="83"/>
      <c r="I258" s="83"/>
      <c r="J258" s="83"/>
      <c r="K258" s="215"/>
      <c r="L258" s="215"/>
      <c r="M258" s="84"/>
      <c r="N258" s="2"/>
      <c r="O258" s="2"/>
      <c r="P258" s="2"/>
      <c r="Q258" s="2"/>
      <c r="R258" s="2"/>
    </row>
    <row r="259" spans="1:18" ht="15">
      <c r="A259" s="2"/>
      <c r="B259" s="2"/>
      <c r="C259" s="83"/>
      <c r="D259" s="83"/>
      <c r="E259" s="83"/>
      <c r="F259" s="83"/>
      <c r="G259" s="83"/>
      <c r="H259" s="83"/>
      <c r="I259" s="83"/>
      <c r="J259" s="83"/>
      <c r="K259" s="215"/>
      <c r="L259" s="215"/>
      <c r="M259" s="84"/>
      <c r="N259" s="2"/>
      <c r="O259" s="2"/>
      <c r="P259" s="2"/>
      <c r="Q259" s="2"/>
      <c r="R259" s="2"/>
    </row>
    <row r="260" spans="1:18" ht="15">
      <c r="A260" s="2"/>
      <c r="B260" s="2"/>
      <c r="C260" s="83"/>
      <c r="D260" s="83"/>
      <c r="E260" s="83"/>
      <c r="F260" s="83"/>
      <c r="G260" s="83"/>
      <c r="H260" s="83"/>
      <c r="I260" s="83"/>
      <c r="J260" s="83"/>
      <c r="K260" s="215"/>
      <c r="L260" s="215"/>
      <c r="M260" s="84"/>
      <c r="N260" s="2"/>
      <c r="O260" s="2"/>
      <c r="P260" s="2"/>
      <c r="Q260" s="2"/>
      <c r="R260" s="2"/>
    </row>
    <row r="261" spans="1:18" ht="15">
      <c r="A261" s="2"/>
      <c r="B261" s="2"/>
      <c r="C261" s="83"/>
      <c r="D261" s="83"/>
      <c r="E261" s="83"/>
      <c r="F261" s="83"/>
      <c r="G261" s="83"/>
      <c r="H261" s="83"/>
      <c r="I261" s="83"/>
      <c r="J261" s="83"/>
      <c r="K261" s="215"/>
      <c r="L261" s="215"/>
      <c r="M261" s="84"/>
      <c r="N261" s="2"/>
      <c r="O261" s="2"/>
      <c r="P261" s="2"/>
      <c r="Q261" s="2"/>
      <c r="R261" s="2"/>
    </row>
    <row r="262" spans="1:18" ht="15">
      <c r="A262" s="2"/>
      <c r="B262" s="2"/>
      <c r="C262" s="83"/>
      <c r="D262" s="83"/>
      <c r="E262" s="83"/>
      <c r="F262" s="83"/>
      <c r="G262" s="83"/>
      <c r="H262" s="83"/>
      <c r="I262" s="83"/>
      <c r="J262" s="83"/>
      <c r="K262" s="215"/>
      <c r="L262" s="215"/>
      <c r="M262" s="84"/>
      <c r="N262" s="2"/>
      <c r="O262" s="2"/>
      <c r="P262" s="2"/>
      <c r="Q262" s="2"/>
      <c r="R262" s="2"/>
    </row>
    <row r="263" spans="1:18" ht="15">
      <c r="A263" s="2"/>
      <c r="B263" s="2"/>
      <c r="C263" s="83"/>
      <c r="D263" s="83"/>
      <c r="E263" s="83"/>
      <c r="F263" s="83"/>
      <c r="G263" s="83"/>
      <c r="H263" s="83"/>
      <c r="I263" s="83"/>
      <c r="J263" s="83"/>
      <c r="K263" s="215"/>
      <c r="L263" s="215"/>
      <c r="M263" s="84"/>
      <c r="N263" s="2"/>
      <c r="O263" s="2"/>
      <c r="P263" s="2"/>
      <c r="Q263" s="2"/>
      <c r="R263" s="2"/>
    </row>
    <row r="264" spans="1:18" ht="15">
      <c r="A264" s="2"/>
      <c r="B264" s="2"/>
      <c r="C264" s="83"/>
      <c r="D264" s="83"/>
      <c r="E264" s="83"/>
      <c r="F264" s="83"/>
      <c r="G264" s="83"/>
      <c r="H264" s="83"/>
      <c r="I264" s="83"/>
      <c r="J264" s="83"/>
      <c r="K264" s="215"/>
      <c r="L264" s="215"/>
      <c r="M264" s="84"/>
      <c r="N264" s="2"/>
      <c r="O264" s="2"/>
      <c r="P264" s="2"/>
      <c r="Q264" s="2"/>
      <c r="R264" s="2"/>
    </row>
    <row r="265" spans="1:18" ht="15">
      <c r="A265" s="2"/>
      <c r="B265" s="2"/>
      <c r="C265" s="83"/>
      <c r="D265" s="83"/>
      <c r="E265" s="83"/>
      <c r="F265" s="83"/>
      <c r="G265" s="83"/>
      <c r="H265" s="83"/>
      <c r="I265" s="83"/>
      <c r="J265" s="83"/>
      <c r="K265" s="215"/>
      <c r="L265" s="215"/>
      <c r="M265" s="84"/>
      <c r="N265" s="2"/>
      <c r="O265" s="2"/>
      <c r="P265" s="2"/>
      <c r="Q265" s="2"/>
      <c r="R265" s="2"/>
    </row>
    <row r="266" spans="1:18" ht="15">
      <c r="A266" s="2"/>
      <c r="B266" s="2"/>
      <c r="C266" s="83"/>
      <c r="D266" s="83"/>
      <c r="E266" s="83"/>
      <c r="F266" s="83"/>
      <c r="G266" s="83"/>
      <c r="H266" s="83"/>
      <c r="I266" s="83"/>
      <c r="J266" s="83"/>
      <c r="K266" s="215"/>
      <c r="L266" s="215"/>
      <c r="M266" s="84"/>
      <c r="N266" s="2"/>
      <c r="O266" s="2"/>
      <c r="P266" s="2"/>
      <c r="Q266" s="2"/>
      <c r="R266" s="2"/>
    </row>
    <row r="267" spans="1:18" ht="15">
      <c r="A267" s="2"/>
      <c r="B267" s="2"/>
      <c r="C267" s="83"/>
      <c r="D267" s="83"/>
      <c r="E267" s="83"/>
      <c r="F267" s="83"/>
      <c r="G267" s="83"/>
      <c r="H267" s="83"/>
      <c r="I267" s="83"/>
      <c r="J267" s="83"/>
      <c r="K267" s="215"/>
      <c r="L267" s="215"/>
      <c r="M267" s="84"/>
      <c r="N267" s="2"/>
      <c r="O267" s="2"/>
      <c r="P267" s="2"/>
      <c r="Q267" s="2"/>
      <c r="R267" s="2"/>
    </row>
    <row r="268" spans="1:18" ht="15">
      <c r="A268" s="2"/>
      <c r="B268" s="2"/>
      <c r="C268" s="83"/>
      <c r="D268" s="83"/>
      <c r="E268" s="83"/>
      <c r="F268" s="83"/>
      <c r="G268" s="83"/>
      <c r="H268" s="83"/>
      <c r="I268" s="83"/>
      <c r="J268" s="83"/>
      <c r="K268" s="215"/>
      <c r="L268" s="215"/>
      <c r="M268" s="84"/>
      <c r="N268" s="2"/>
      <c r="O268" s="2"/>
      <c r="P268" s="2"/>
      <c r="Q268" s="2"/>
      <c r="R268" s="2"/>
    </row>
    <row r="269" spans="1:18" ht="15">
      <c r="A269" s="2"/>
      <c r="B269" s="2"/>
      <c r="C269" s="83"/>
      <c r="D269" s="83"/>
      <c r="E269" s="83"/>
      <c r="F269" s="83"/>
      <c r="G269" s="83"/>
      <c r="H269" s="83"/>
      <c r="I269" s="83"/>
      <c r="J269" s="83"/>
      <c r="K269" s="215"/>
      <c r="L269" s="215"/>
      <c r="M269" s="84"/>
      <c r="N269" s="2"/>
      <c r="O269" s="2"/>
      <c r="P269" s="2"/>
      <c r="Q269" s="2"/>
      <c r="R269" s="2"/>
    </row>
    <row r="270" spans="1:18" ht="15">
      <c r="A270" s="2"/>
      <c r="B270" s="2"/>
      <c r="C270" s="83"/>
      <c r="D270" s="83"/>
      <c r="E270" s="83"/>
      <c r="F270" s="83"/>
      <c r="G270" s="83"/>
      <c r="H270" s="83"/>
      <c r="I270" s="83"/>
      <c r="J270" s="83"/>
      <c r="K270" s="215"/>
      <c r="L270" s="215"/>
      <c r="M270" s="84"/>
      <c r="N270" s="2"/>
      <c r="O270" s="2"/>
      <c r="P270" s="2"/>
      <c r="Q270" s="2"/>
      <c r="R270" s="2"/>
    </row>
    <row r="271" spans="1:18" ht="15">
      <c r="A271" s="2"/>
      <c r="B271" s="2"/>
      <c r="C271" s="83"/>
      <c r="D271" s="83"/>
      <c r="E271" s="83"/>
      <c r="F271" s="83"/>
      <c r="G271" s="83"/>
      <c r="H271" s="83"/>
      <c r="I271" s="83"/>
      <c r="J271" s="83"/>
      <c r="K271" s="215"/>
      <c r="L271" s="215"/>
      <c r="M271" s="84"/>
      <c r="N271" s="2"/>
      <c r="O271" s="2"/>
      <c r="P271" s="2"/>
      <c r="Q271" s="2"/>
      <c r="R271" s="2"/>
    </row>
    <row r="272" spans="1:18" ht="15">
      <c r="A272" s="2"/>
      <c r="B272" s="2"/>
      <c r="C272" s="83"/>
      <c r="D272" s="83"/>
      <c r="E272" s="83"/>
      <c r="F272" s="83"/>
      <c r="G272" s="83"/>
      <c r="H272" s="83"/>
      <c r="I272" s="83"/>
      <c r="J272" s="83"/>
      <c r="K272" s="215"/>
      <c r="L272" s="215"/>
      <c r="M272" s="84"/>
      <c r="N272" s="2"/>
      <c r="O272" s="2"/>
      <c r="P272" s="2"/>
      <c r="Q272" s="2"/>
      <c r="R272" s="2"/>
    </row>
    <row r="273" spans="1:18" ht="15">
      <c r="A273" s="2"/>
      <c r="B273" s="2"/>
      <c r="C273" s="83"/>
      <c r="D273" s="83"/>
      <c r="E273" s="83"/>
      <c r="F273" s="83"/>
      <c r="G273" s="83"/>
      <c r="H273" s="83"/>
      <c r="I273" s="83"/>
      <c r="J273" s="83"/>
      <c r="K273" s="215"/>
      <c r="L273" s="215"/>
      <c r="M273" s="84"/>
      <c r="N273" s="2"/>
      <c r="O273" s="2"/>
      <c r="P273" s="2"/>
      <c r="Q273" s="2"/>
      <c r="R273" s="2"/>
    </row>
    <row r="274" spans="1:18" ht="15">
      <c r="A274" s="2"/>
      <c r="B274" s="2"/>
      <c r="C274" s="83"/>
      <c r="D274" s="83"/>
      <c r="E274" s="83"/>
      <c r="F274" s="83"/>
      <c r="G274" s="83"/>
      <c r="H274" s="83"/>
      <c r="I274" s="83"/>
      <c r="J274" s="83"/>
      <c r="K274" s="215"/>
      <c r="L274" s="215"/>
      <c r="M274" s="84"/>
      <c r="N274" s="2"/>
      <c r="O274" s="2"/>
      <c r="P274" s="2"/>
      <c r="Q274" s="2"/>
      <c r="R274" s="2"/>
    </row>
    <row r="275" spans="1:18" ht="15">
      <c r="A275" s="2"/>
      <c r="B275" s="2"/>
      <c r="C275" s="83"/>
      <c r="D275" s="83"/>
      <c r="E275" s="83"/>
      <c r="F275" s="83"/>
      <c r="G275" s="83"/>
      <c r="H275" s="83"/>
      <c r="I275" s="83"/>
      <c r="J275" s="83"/>
      <c r="K275" s="215"/>
      <c r="L275" s="215"/>
      <c r="M275" s="84"/>
      <c r="N275" s="2"/>
      <c r="O275" s="2"/>
      <c r="P275" s="2"/>
      <c r="Q275" s="2"/>
      <c r="R275" s="2"/>
    </row>
    <row r="276" spans="1:18" ht="15">
      <c r="A276" s="2"/>
      <c r="B276" s="2"/>
      <c r="C276" s="83"/>
      <c r="D276" s="83"/>
      <c r="E276" s="83"/>
      <c r="F276" s="83"/>
      <c r="G276" s="83"/>
      <c r="H276" s="83"/>
      <c r="I276" s="83"/>
      <c r="J276" s="83"/>
      <c r="K276" s="215"/>
      <c r="L276" s="215"/>
      <c r="M276" s="84"/>
      <c r="N276" s="2"/>
      <c r="O276" s="2"/>
      <c r="P276" s="2"/>
      <c r="Q276" s="2"/>
      <c r="R276" s="2"/>
    </row>
    <row r="277" spans="1:18" ht="15">
      <c r="A277" s="2"/>
      <c r="B277" s="2"/>
      <c r="C277" s="83"/>
      <c r="D277" s="83"/>
      <c r="E277" s="83"/>
      <c r="F277" s="83"/>
      <c r="G277" s="83"/>
      <c r="H277" s="83"/>
      <c r="I277" s="83"/>
      <c r="J277" s="83"/>
      <c r="K277" s="215"/>
      <c r="L277" s="215"/>
      <c r="M277" s="84"/>
      <c r="N277" s="2"/>
      <c r="O277" s="2"/>
      <c r="P277" s="2"/>
      <c r="Q277" s="2"/>
      <c r="R277" s="2"/>
    </row>
    <row r="278" spans="1:18" ht="15">
      <c r="A278" s="2"/>
      <c r="B278" s="2"/>
      <c r="C278" s="83"/>
      <c r="D278" s="83"/>
      <c r="E278" s="83"/>
      <c r="F278" s="83"/>
      <c r="G278" s="83"/>
      <c r="H278" s="83"/>
      <c r="I278" s="83"/>
      <c r="J278" s="83"/>
      <c r="K278" s="215"/>
      <c r="L278" s="215"/>
      <c r="M278" s="84"/>
      <c r="N278" s="2"/>
      <c r="O278" s="2"/>
      <c r="P278" s="2"/>
      <c r="Q278" s="2"/>
      <c r="R278" s="2"/>
    </row>
    <row r="279" spans="1:18" ht="15">
      <c r="A279" s="2"/>
      <c r="B279" s="2"/>
      <c r="C279" s="83"/>
      <c r="D279" s="83"/>
      <c r="E279" s="83"/>
      <c r="F279" s="83"/>
      <c r="G279" s="83"/>
      <c r="H279" s="83"/>
      <c r="I279" s="83"/>
      <c r="J279" s="83"/>
      <c r="K279" s="215"/>
      <c r="L279" s="215"/>
      <c r="M279" s="84"/>
      <c r="N279" s="2"/>
      <c r="O279" s="2"/>
      <c r="P279" s="2"/>
      <c r="Q279" s="2"/>
      <c r="R279" s="2"/>
    </row>
    <row r="280" spans="1:18" ht="15">
      <c r="A280" s="2"/>
      <c r="B280" s="2"/>
      <c r="C280" s="83"/>
      <c r="D280" s="83"/>
      <c r="E280" s="83"/>
      <c r="F280" s="83"/>
      <c r="G280" s="83"/>
      <c r="H280" s="83"/>
      <c r="I280" s="83"/>
      <c r="J280" s="83"/>
      <c r="K280" s="215"/>
      <c r="L280" s="215"/>
      <c r="M280" s="84"/>
      <c r="N280" s="2"/>
      <c r="O280" s="2"/>
      <c r="P280" s="2"/>
      <c r="Q280" s="2"/>
      <c r="R280" s="2"/>
    </row>
    <row r="281" spans="1:18" ht="15">
      <c r="A281" s="2"/>
      <c r="B281" s="2"/>
      <c r="C281" s="83"/>
      <c r="D281" s="83"/>
      <c r="E281" s="83"/>
      <c r="F281" s="83"/>
      <c r="G281" s="83"/>
      <c r="H281" s="83"/>
      <c r="I281" s="83"/>
      <c r="J281" s="83"/>
      <c r="K281" s="215"/>
      <c r="L281" s="215"/>
      <c r="M281" s="84"/>
      <c r="N281" s="2"/>
      <c r="O281" s="2"/>
      <c r="P281" s="2"/>
      <c r="Q281" s="2"/>
      <c r="R281" s="2"/>
    </row>
    <row r="282" spans="1:18" ht="15">
      <c r="A282" s="2"/>
      <c r="B282" s="2"/>
      <c r="C282" s="83"/>
      <c r="D282" s="83"/>
      <c r="E282" s="83"/>
      <c r="F282" s="83"/>
      <c r="G282" s="83"/>
      <c r="H282" s="83"/>
      <c r="I282" s="83"/>
      <c r="J282" s="83"/>
      <c r="K282" s="215"/>
      <c r="L282" s="215"/>
      <c r="M282" s="84"/>
      <c r="N282" s="2"/>
      <c r="O282" s="2"/>
      <c r="P282" s="2"/>
      <c r="Q282" s="2"/>
      <c r="R282" s="2"/>
    </row>
    <row r="283" spans="1:18" ht="15">
      <c r="A283" s="2"/>
      <c r="B283" s="2"/>
      <c r="C283" s="83"/>
      <c r="D283" s="83"/>
      <c r="E283" s="83"/>
      <c r="F283" s="83"/>
      <c r="G283" s="83"/>
      <c r="H283" s="83"/>
      <c r="I283" s="83"/>
      <c r="J283" s="83"/>
      <c r="K283" s="215"/>
      <c r="L283" s="215"/>
      <c r="M283" s="84"/>
      <c r="N283" s="2"/>
      <c r="O283" s="2"/>
      <c r="P283" s="2"/>
      <c r="Q283" s="2"/>
      <c r="R283" s="2"/>
    </row>
    <row r="284" spans="1:18" ht="15">
      <c r="A284" s="2"/>
      <c r="B284" s="2"/>
      <c r="C284" s="83"/>
      <c r="D284" s="83"/>
      <c r="E284" s="83"/>
      <c r="F284" s="83"/>
      <c r="G284" s="83"/>
      <c r="H284" s="83"/>
      <c r="I284" s="83"/>
      <c r="J284" s="83"/>
      <c r="K284" s="215"/>
      <c r="L284" s="215"/>
      <c r="M284" s="84"/>
      <c r="N284" s="2"/>
      <c r="O284" s="2"/>
      <c r="P284" s="2"/>
      <c r="Q284" s="2"/>
      <c r="R284" s="2"/>
    </row>
    <row r="285" spans="1:18" ht="15">
      <c r="A285" s="2"/>
      <c r="B285" s="2"/>
      <c r="C285" s="83"/>
      <c r="D285" s="83"/>
      <c r="E285" s="83"/>
      <c r="F285" s="83"/>
      <c r="G285" s="83"/>
      <c r="H285" s="83"/>
      <c r="I285" s="83"/>
      <c r="J285" s="83"/>
      <c r="K285" s="215"/>
      <c r="L285" s="215"/>
      <c r="M285" s="84"/>
      <c r="N285" s="2"/>
      <c r="O285" s="2"/>
      <c r="P285" s="2"/>
      <c r="Q285" s="2"/>
      <c r="R285" s="2"/>
    </row>
    <row r="286" spans="1:18" ht="15">
      <c r="A286" s="2"/>
      <c r="B286" s="2"/>
      <c r="C286" s="83"/>
      <c r="D286" s="83"/>
      <c r="E286" s="83"/>
      <c r="F286" s="83"/>
      <c r="G286" s="83"/>
      <c r="H286" s="83"/>
      <c r="I286" s="83"/>
      <c r="J286" s="83"/>
      <c r="K286" s="215"/>
      <c r="L286" s="215"/>
      <c r="M286" s="84"/>
      <c r="N286" s="2"/>
      <c r="O286" s="2"/>
      <c r="P286" s="2"/>
      <c r="Q286" s="2"/>
      <c r="R286" s="2"/>
    </row>
    <row r="287" spans="1:18" ht="15">
      <c r="A287" s="2"/>
      <c r="B287" s="2"/>
      <c r="C287" s="83"/>
      <c r="D287" s="83"/>
      <c r="E287" s="83"/>
      <c r="F287" s="83"/>
      <c r="G287" s="83"/>
      <c r="H287" s="83"/>
      <c r="I287" s="83"/>
      <c r="J287" s="83"/>
      <c r="K287" s="215"/>
      <c r="L287" s="215"/>
      <c r="M287" s="84"/>
      <c r="N287" s="2"/>
      <c r="O287" s="2"/>
      <c r="P287" s="2"/>
      <c r="Q287" s="2"/>
      <c r="R287" s="2"/>
    </row>
    <row r="288" spans="1:18" ht="15">
      <c r="A288" s="2"/>
      <c r="B288" s="2"/>
      <c r="C288" s="83"/>
      <c r="D288" s="83"/>
      <c r="E288" s="83"/>
      <c r="F288" s="83"/>
      <c r="G288" s="83"/>
      <c r="H288" s="83"/>
      <c r="I288" s="83"/>
      <c r="J288" s="83"/>
      <c r="K288" s="215"/>
      <c r="L288" s="215"/>
      <c r="M288" s="84"/>
      <c r="N288" s="2"/>
      <c r="O288" s="2"/>
      <c r="P288" s="2"/>
      <c r="Q288" s="2"/>
      <c r="R288" s="2"/>
    </row>
    <row r="289" spans="1:18" ht="15">
      <c r="A289" s="2"/>
      <c r="B289" s="2"/>
      <c r="C289" s="83"/>
      <c r="D289" s="83"/>
      <c r="E289" s="83"/>
      <c r="F289" s="83"/>
      <c r="G289" s="83"/>
      <c r="H289" s="83"/>
      <c r="I289" s="83"/>
      <c r="J289" s="83"/>
      <c r="K289" s="215"/>
      <c r="L289" s="215"/>
      <c r="M289" s="84"/>
      <c r="N289" s="2"/>
      <c r="O289" s="2"/>
      <c r="P289" s="2"/>
      <c r="Q289" s="2"/>
      <c r="R289" s="2"/>
    </row>
    <row r="290" spans="1:18" ht="15">
      <c r="A290" s="2"/>
      <c r="B290" s="2"/>
      <c r="C290" s="83"/>
      <c r="D290" s="83"/>
      <c r="E290" s="83"/>
      <c r="F290" s="83"/>
      <c r="G290" s="83"/>
      <c r="H290" s="83"/>
      <c r="I290" s="83"/>
      <c r="J290" s="83"/>
      <c r="K290" s="215"/>
      <c r="L290" s="215"/>
      <c r="M290" s="84"/>
      <c r="N290" s="2"/>
      <c r="O290" s="2"/>
      <c r="P290" s="2"/>
      <c r="Q290" s="2"/>
      <c r="R290" s="2"/>
    </row>
    <row r="291" spans="1:18" ht="15">
      <c r="A291" s="2"/>
      <c r="B291" s="2"/>
      <c r="C291" s="83"/>
      <c r="D291" s="83"/>
      <c r="E291" s="83"/>
      <c r="F291" s="83"/>
      <c r="G291" s="83"/>
      <c r="H291" s="83"/>
      <c r="I291" s="83"/>
      <c r="J291" s="83"/>
      <c r="K291" s="215"/>
      <c r="L291" s="215"/>
      <c r="M291" s="84"/>
      <c r="N291" s="2"/>
      <c r="O291" s="2"/>
      <c r="P291" s="2"/>
      <c r="Q291" s="2"/>
      <c r="R291" s="2"/>
    </row>
    <row r="292" spans="1:18" ht="15">
      <c r="A292" s="2"/>
      <c r="B292" s="2"/>
      <c r="C292" s="83"/>
      <c r="D292" s="83"/>
      <c r="E292" s="83"/>
      <c r="F292" s="83"/>
      <c r="G292" s="83"/>
      <c r="H292" s="83"/>
      <c r="I292" s="83"/>
      <c r="J292" s="83"/>
      <c r="K292" s="215"/>
      <c r="L292" s="215"/>
      <c r="M292" s="84"/>
      <c r="N292" s="2"/>
      <c r="O292" s="2"/>
      <c r="P292" s="2"/>
      <c r="Q292" s="2"/>
      <c r="R292" s="2"/>
    </row>
    <row r="293" spans="1:18" ht="15">
      <c r="A293" s="2"/>
      <c r="B293" s="2"/>
      <c r="C293" s="83"/>
      <c r="D293" s="83"/>
      <c r="E293" s="83"/>
      <c r="F293" s="83"/>
      <c r="G293" s="83"/>
      <c r="H293" s="83"/>
      <c r="I293" s="83"/>
      <c r="J293" s="83"/>
      <c r="K293" s="215"/>
      <c r="L293" s="215"/>
      <c r="M293" s="84"/>
      <c r="N293" s="2"/>
      <c r="O293" s="2"/>
      <c r="P293" s="2"/>
      <c r="Q293" s="2"/>
      <c r="R293" s="2"/>
    </row>
    <row r="294" spans="1:18" ht="15">
      <c r="A294" s="2"/>
      <c r="B294" s="2"/>
      <c r="C294" s="83"/>
      <c r="D294" s="83"/>
      <c r="E294" s="83"/>
      <c r="F294" s="83"/>
      <c r="G294" s="83"/>
      <c r="H294" s="83"/>
      <c r="I294" s="83"/>
      <c r="J294" s="83"/>
      <c r="K294" s="215"/>
      <c r="L294" s="215"/>
      <c r="M294" s="84"/>
      <c r="N294" s="2"/>
      <c r="O294" s="2"/>
      <c r="P294" s="2"/>
      <c r="Q294" s="2"/>
      <c r="R294" s="2"/>
    </row>
    <row r="295" spans="1:18" ht="15">
      <c r="A295" s="2"/>
      <c r="B295" s="2"/>
      <c r="C295" s="83"/>
      <c r="D295" s="83"/>
      <c r="E295" s="83"/>
      <c r="F295" s="83"/>
      <c r="G295" s="83"/>
      <c r="H295" s="83"/>
      <c r="I295" s="83"/>
      <c r="J295" s="83"/>
      <c r="K295" s="215"/>
      <c r="L295" s="215"/>
      <c r="M295" s="84"/>
      <c r="N295" s="2"/>
      <c r="O295" s="2"/>
      <c r="P295" s="2"/>
      <c r="Q295" s="2"/>
      <c r="R295" s="2"/>
    </row>
    <row r="296" spans="1:18" ht="15">
      <c r="A296" s="2"/>
      <c r="B296" s="2"/>
      <c r="C296" s="83"/>
      <c r="D296" s="83"/>
      <c r="E296" s="83"/>
      <c r="F296" s="83"/>
      <c r="G296" s="83"/>
      <c r="H296" s="83"/>
      <c r="I296" s="83"/>
      <c r="J296" s="83"/>
      <c r="K296" s="215"/>
      <c r="L296" s="215"/>
      <c r="M296" s="84"/>
      <c r="N296" s="2"/>
      <c r="O296" s="2"/>
      <c r="P296" s="2"/>
      <c r="Q296" s="2"/>
      <c r="R296" s="2"/>
    </row>
    <row r="297" spans="1:18" ht="15">
      <c r="A297" s="2"/>
      <c r="B297" s="2"/>
      <c r="C297" s="83"/>
      <c r="D297" s="83"/>
      <c r="E297" s="83"/>
      <c r="F297" s="83"/>
      <c r="G297" s="83"/>
      <c r="H297" s="83"/>
      <c r="I297" s="83"/>
      <c r="J297" s="83"/>
      <c r="K297" s="215"/>
      <c r="L297" s="215"/>
      <c r="M297" s="84"/>
      <c r="N297" s="2"/>
      <c r="O297" s="2"/>
      <c r="P297" s="2"/>
      <c r="Q297" s="2"/>
      <c r="R297" s="2"/>
    </row>
    <row r="298" spans="1:18" ht="15">
      <c r="A298" s="2"/>
      <c r="B298" s="2"/>
      <c r="C298" s="83"/>
      <c r="D298" s="83"/>
      <c r="E298" s="83"/>
      <c r="F298" s="83"/>
      <c r="G298" s="83"/>
      <c r="H298" s="83"/>
      <c r="I298" s="83"/>
      <c r="J298" s="83"/>
      <c r="K298" s="215"/>
      <c r="L298" s="215"/>
      <c r="M298" s="84"/>
      <c r="N298" s="2"/>
      <c r="O298" s="2"/>
      <c r="P298" s="2"/>
      <c r="Q298" s="2"/>
      <c r="R298" s="2"/>
    </row>
    <row r="299" spans="1:18" ht="15">
      <c r="A299" s="2"/>
      <c r="B299" s="2"/>
      <c r="C299" s="83"/>
      <c r="D299" s="83"/>
      <c r="E299" s="83"/>
      <c r="F299" s="83"/>
      <c r="G299" s="83"/>
      <c r="H299" s="83"/>
      <c r="I299" s="83"/>
      <c r="J299" s="83"/>
      <c r="K299" s="215"/>
      <c r="L299" s="215"/>
      <c r="M299" s="84"/>
      <c r="N299" s="2"/>
      <c r="O299" s="2"/>
      <c r="P299" s="2"/>
      <c r="Q299" s="2"/>
      <c r="R299" s="2"/>
    </row>
    <row r="300" spans="1:18" ht="15">
      <c r="A300" s="2"/>
      <c r="B300" s="2"/>
      <c r="C300" s="83"/>
      <c r="D300" s="83"/>
      <c r="E300" s="83"/>
      <c r="F300" s="83"/>
      <c r="G300" s="83"/>
      <c r="H300" s="83"/>
      <c r="I300" s="83"/>
      <c r="J300" s="83"/>
      <c r="K300" s="215"/>
      <c r="L300" s="215"/>
      <c r="M300" s="84"/>
      <c r="N300" s="2"/>
      <c r="O300" s="2"/>
      <c r="P300" s="2"/>
      <c r="Q300" s="2"/>
      <c r="R300" s="2"/>
    </row>
    <row r="301" spans="1:18" ht="15">
      <c r="A301" s="2"/>
      <c r="B301" s="2"/>
      <c r="C301" s="83"/>
      <c r="D301" s="83"/>
      <c r="E301" s="83"/>
      <c r="F301" s="83"/>
      <c r="G301" s="83"/>
      <c r="H301" s="83"/>
      <c r="I301" s="83"/>
      <c r="J301" s="83"/>
      <c r="K301" s="215"/>
      <c r="L301" s="215"/>
      <c r="M301" s="84"/>
      <c r="N301" s="2"/>
      <c r="O301" s="2"/>
      <c r="P301" s="2"/>
      <c r="Q301" s="2"/>
      <c r="R301" s="2"/>
    </row>
    <row r="302" spans="1:18" ht="15">
      <c r="A302" s="2"/>
      <c r="B302" s="2"/>
      <c r="C302" s="83"/>
      <c r="D302" s="83"/>
      <c r="E302" s="83"/>
      <c r="F302" s="83"/>
      <c r="G302" s="83"/>
      <c r="H302" s="83"/>
      <c r="I302" s="83"/>
      <c r="J302" s="83"/>
      <c r="K302" s="215"/>
      <c r="L302" s="215"/>
      <c r="M302" s="84"/>
      <c r="N302" s="2"/>
      <c r="O302" s="2"/>
      <c r="P302" s="2"/>
      <c r="Q302" s="2"/>
      <c r="R302" s="2"/>
    </row>
    <row r="303" spans="1:18" ht="15">
      <c r="A303" s="2"/>
      <c r="B303" s="2"/>
      <c r="C303" s="83"/>
      <c r="D303" s="83"/>
      <c r="E303" s="83"/>
      <c r="F303" s="83"/>
      <c r="G303" s="83"/>
      <c r="H303" s="83"/>
      <c r="I303" s="83"/>
      <c r="J303" s="83"/>
      <c r="K303" s="215"/>
      <c r="L303" s="215"/>
      <c r="M303" s="84"/>
      <c r="N303" s="2"/>
      <c r="O303" s="2"/>
      <c r="P303" s="2"/>
      <c r="Q303" s="2"/>
      <c r="R303" s="2"/>
    </row>
    <row r="304" spans="1:18" ht="15">
      <c r="A304" s="2"/>
      <c r="B304" s="2"/>
      <c r="C304" s="83"/>
      <c r="D304" s="83"/>
      <c r="E304" s="83"/>
      <c r="F304" s="83"/>
      <c r="G304" s="83"/>
      <c r="H304" s="83"/>
      <c r="I304" s="83"/>
      <c r="J304" s="83"/>
      <c r="K304" s="215"/>
      <c r="L304" s="215"/>
      <c r="M304" s="84"/>
      <c r="N304" s="2"/>
      <c r="O304" s="2"/>
      <c r="P304" s="2"/>
      <c r="Q304" s="2"/>
      <c r="R304" s="2"/>
    </row>
    <row r="305" spans="1:18" ht="15">
      <c r="A305" s="2"/>
      <c r="B305" s="2"/>
      <c r="C305" s="83"/>
      <c r="D305" s="83"/>
      <c r="E305" s="83"/>
      <c r="F305" s="83"/>
      <c r="G305" s="83"/>
      <c r="H305" s="83"/>
      <c r="I305" s="83"/>
      <c r="J305" s="83"/>
      <c r="K305" s="215"/>
      <c r="L305" s="215"/>
      <c r="M305" s="84"/>
      <c r="N305" s="2"/>
      <c r="O305" s="2"/>
      <c r="P305" s="2"/>
      <c r="Q305" s="2"/>
      <c r="R305" s="2"/>
    </row>
    <row r="306" spans="1:18" ht="15">
      <c r="A306" s="2"/>
      <c r="B306" s="2"/>
      <c r="C306" s="83"/>
      <c r="D306" s="83"/>
      <c r="E306" s="83"/>
      <c r="F306" s="83"/>
      <c r="G306" s="83"/>
      <c r="H306" s="83"/>
      <c r="I306" s="83"/>
      <c r="J306" s="83"/>
      <c r="K306" s="215"/>
      <c r="L306" s="215"/>
      <c r="M306" s="84"/>
      <c r="N306" s="2"/>
      <c r="O306" s="2"/>
      <c r="P306" s="2"/>
      <c r="Q306" s="2"/>
      <c r="R306" s="2"/>
    </row>
    <row r="307" spans="1:18" ht="15">
      <c r="A307" s="2"/>
      <c r="B307" s="2"/>
      <c r="C307" s="83"/>
      <c r="D307" s="83"/>
      <c r="E307" s="83"/>
      <c r="F307" s="83"/>
      <c r="G307" s="83"/>
      <c r="H307" s="83"/>
      <c r="I307" s="83"/>
      <c r="J307" s="83"/>
      <c r="K307" s="215"/>
      <c r="L307" s="215"/>
      <c r="M307" s="84"/>
      <c r="N307" s="2"/>
      <c r="O307" s="2"/>
      <c r="P307" s="2"/>
      <c r="Q307" s="2"/>
      <c r="R307" s="2"/>
    </row>
    <row r="308" spans="1:18" ht="15">
      <c r="A308" s="2"/>
      <c r="B308" s="2"/>
      <c r="C308" s="83"/>
      <c r="D308" s="83"/>
      <c r="E308" s="83"/>
      <c r="F308" s="83"/>
      <c r="G308" s="83"/>
      <c r="H308" s="83"/>
      <c r="I308" s="83"/>
      <c r="J308" s="83"/>
      <c r="K308" s="215"/>
      <c r="L308" s="215"/>
      <c r="M308" s="84"/>
      <c r="N308" s="2"/>
      <c r="O308" s="2"/>
      <c r="P308" s="2"/>
      <c r="Q308" s="2"/>
      <c r="R308" s="2"/>
    </row>
    <row r="309" spans="1:18" ht="15">
      <c r="A309" s="2"/>
      <c r="B309" s="2"/>
      <c r="C309" s="83"/>
      <c r="D309" s="83"/>
      <c r="E309" s="83"/>
      <c r="F309" s="83"/>
      <c r="G309" s="83"/>
      <c r="H309" s="83"/>
      <c r="I309" s="83"/>
      <c r="J309" s="83"/>
      <c r="K309" s="215"/>
      <c r="L309" s="215"/>
      <c r="M309" s="84"/>
      <c r="N309" s="2"/>
      <c r="O309" s="2"/>
      <c r="P309" s="2"/>
      <c r="Q309" s="2"/>
      <c r="R309" s="2"/>
    </row>
    <row r="310" spans="1:18" ht="15">
      <c r="A310" s="2"/>
      <c r="B310" s="2"/>
      <c r="C310" s="83"/>
      <c r="D310" s="83"/>
      <c r="E310" s="83"/>
      <c r="F310" s="83"/>
      <c r="G310" s="83"/>
      <c r="H310" s="83"/>
      <c r="I310" s="83"/>
      <c r="J310" s="83"/>
      <c r="K310" s="215"/>
      <c r="L310" s="215"/>
      <c r="M310" s="84"/>
      <c r="N310" s="2"/>
      <c r="O310" s="2"/>
      <c r="P310" s="2"/>
      <c r="Q310" s="2"/>
      <c r="R310" s="2"/>
    </row>
    <row r="311" spans="1:18" ht="15">
      <c r="A311" s="2"/>
      <c r="B311" s="2"/>
      <c r="C311" s="83"/>
      <c r="D311" s="83"/>
      <c r="E311" s="83"/>
      <c r="F311" s="83"/>
      <c r="G311" s="83"/>
      <c r="H311" s="83"/>
      <c r="I311" s="83"/>
      <c r="J311" s="83"/>
      <c r="K311" s="215"/>
      <c r="L311" s="215"/>
      <c r="M311" s="84"/>
      <c r="N311" s="2"/>
      <c r="O311" s="2"/>
      <c r="P311" s="2"/>
      <c r="Q311" s="2"/>
      <c r="R311" s="2"/>
    </row>
    <row r="312" spans="1:18" ht="15">
      <c r="A312" s="2"/>
      <c r="B312" s="2"/>
      <c r="C312" s="83"/>
      <c r="D312" s="83"/>
      <c r="E312" s="83"/>
      <c r="F312" s="83"/>
      <c r="G312" s="83"/>
      <c r="H312" s="83"/>
      <c r="I312" s="83"/>
      <c r="J312" s="83"/>
      <c r="K312" s="215"/>
      <c r="L312" s="215"/>
      <c r="M312" s="84"/>
      <c r="N312" s="2"/>
      <c r="O312" s="2"/>
      <c r="P312" s="2"/>
      <c r="Q312" s="2"/>
      <c r="R312" s="2"/>
    </row>
    <row r="313" spans="1:18" ht="15">
      <c r="A313" s="2"/>
      <c r="B313" s="2"/>
      <c r="C313" s="83"/>
      <c r="D313" s="83"/>
      <c r="E313" s="83"/>
      <c r="F313" s="83"/>
      <c r="G313" s="83"/>
      <c r="H313" s="83"/>
      <c r="I313" s="83"/>
      <c r="J313" s="83"/>
      <c r="K313" s="215"/>
      <c r="L313" s="215"/>
      <c r="M313" s="84"/>
      <c r="N313" s="2"/>
      <c r="O313" s="2"/>
      <c r="P313" s="2"/>
      <c r="Q313" s="2"/>
      <c r="R313" s="2"/>
    </row>
    <row r="314" spans="1:18" ht="15">
      <c r="A314" s="2"/>
      <c r="B314" s="2"/>
      <c r="C314" s="83"/>
      <c r="D314" s="83"/>
      <c r="E314" s="83"/>
      <c r="F314" s="83"/>
      <c r="G314" s="83"/>
      <c r="H314" s="83"/>
      <c r="I314" s="83"/>
      <c r="J314" s="83"/>
      <c r="K314" s="215"/>
      <c r="L314" s="215"/>
      <c r="M314" s="84"/>
      <c r="N314" s="2"/>
      <c r="O314" s="2"/>
      <c r="P314" s="2"/>
      <c r="Q314" s="2"/>
      <c r="R314" s="2"/>
    </row>
    <row r="315" spans="1:18" ht="15">
      <c r="A315" s="2"/>
      <c r="B315" s="2"/>
      <c r="C315" s="83"/>
      <c r="D315" s="83"/>
      <c r="E315" s="83"/>
      <c r="F315" s="83"/>
      <c r="G315" s="83"/>
      <c r="H315" s="83"/>
      <c r="I315" s="83"/>
      <c r="J315" s="83"/>
      <c r="K315" s="215"/>
      <c r="L315" s="215"/>
      <c r="M315" s="84"/>
      <c r="N315" s="2"/>
      <c r="O315" s="2"/>
      <c r="P315" s="2"/>
      <c r="Q315" s="2"/>
      <c r="R315" s="2"/>
    </row>
    <row r="316" spans="1:18" ht="15">
      <c r="A316" s="2"/>
      <c r="B316" s="2"/>
      <c r="C316" s="83"/>
      <c r="D316" s="83"/>
      <c r="E316" s="83"/>
      <c r="F316" s="83"/>
      <c r="G316" s="83"/>
      <c r="H316" s="83"/>
      <c r="I316" s="83"/>
      <c r="J316" s="83"/>
      <c r="K316" s="215"/>
      <c r="L316" s="215"/>
      <c r="M316" s="84"/>
      <c r="N316" s="2"/>
      <c r="O316" s="2"/>
      <c r="P316" s="2"/>
      <c r="Q316" s="2"/>
      <c r="R316" s="2"/>
    </row>
    <row r="317" spans="1:18" ht="15">
      <c r="A317" s="2"/>
      <c r="B317" s="2"/>
      <c r="C317" s="83"/>
      <c r="D317" s="83"/>
      <c r="E317" s="83"/>
      <c r="F317" s="83"/>
      <c r="G317" s="83"/>
      <c r="H317" s="83"/>
      <c r="I317" s="83"/>
      <c r="J317" s="83"/>
      <c r="K317" s="215"/>
      <c r="L317" s="215"/>
      <c r="M317" s="84"/>
      <c r="N317" s="2"/>
      <c r="O317" s="2"/>
      <c r="P317" s="2"/>
      <c r="Q317" s="2"/>
      <c r="R317" s="2"/>
    </row>
    <row r="318" spans="1:18" ht="15">
      <c r="A318" s="2"/>
      <c r="B318" s="2"/>
      <c r="C318" s="83"/>
      <c r="D318" s="83"/>
      <c r="E318" s="83"/>
      <c r="F318" s="83"/>
      <c r="G318" s="83"/>
      <c r="H318" s="83"/>
      <c r="I318" s="83"/>
      <c r="J318" s="83"/>
      <c r="K318" s="215"/>
      <c r="L318" s="215"/>
      <c r="M318" s="84"/>
      <c r="N318" s="2"/>
      <c r="O318" s="2"/>
      <c r="P318" s="2"/>
      <c r="Q318" s="2"/>
      <c r="R318" s="2"/>
    </row>
    <row r="319" spans="1:18" ht="15">
      <c r="A319" s="2"/>
      <c r="B319" s="2"/>
      <c r="C319" s="83"/>
      <c r="D319" s="83"/>
      <c r="E319" s="83"/>
      <c r="F319" s="83"/>
      <c r="G319" s="83"/>
      <c r="H319" s="83"/>
      <c r="I319" s="83"/>
      <c r="J319" s="83"/>
      <c r="K319" s="215"/>
      <c r="L319" s="215"/>
      <c r="M319" s="84"/>
      <c r="N319" s="2"/>
      <c r="O319" s="2"/>
      <c r="P319" s="2"/>
      <c r="Q319" s="2"/>
      <c r="R319" s="2"/>
    </row>
    <row r="320" spans="1:18" ht="15">
      <c r="A320" s="2"/>
      <c r="B320" s="2"/>
      <c r="C320" s="83"/>
      <c r="D320" s="83"/>
      <c r="E320" s="83"/>
      <c r="F320" s="83"/>
      <c r="G320" s="83"/>
      <c r="H320" s="83"/>
      <c r="I320" s="83"/>
      <c r="J320" s="83"/>
      <c r="K320" s="215"/>
      <c r="L320" s="215"/>
      <c r="M320" s="84"/>
      <c r="N320" s="2"/>
      <c r="O320" s="2"/>
      <c r="P320" s="2"/>
      <c r="Q320" s="2"/>
      <c r="R320" s="2"/>
    </row>
    <row r="321" spans="1:18" ht="15">
      <c r="A321" s="2"/>
      <c r="B321" s="2"/>
      <c r="C321" s="83"/>
      <c r="D321" s="83"/>
      <c r="E321" s="83"/>
      <c r="F321" s="83"/>
      <c r="G321" s="83"/>
      <c r="H321" s="83"/>
      <c r="I321" s="83"/>
      <c r="J321" s="83"/>
      <c r="K321" s="215"/>
      <c r="L321" s="215"/>
      <c r="M321" s="84"/>
      <c r="N321" s="2"/>
      <c r="O321" s="2"/>
      <c r="P321" s="2"/>
      <c r="Q321" s="2"/>
      <c r="R321" s="2"/>
    </row>
    <row r="322" spans="1:18" ht="15">
      <c r="A322" s="2"/>
      <c r="B322" s="2"/>
      <c r="C322" s="83"/>
      <c r="D322" s="83"/>
      <c r="E322" s="83"/>
      <c r="F322" s="83"/>
      <c r="G322" s="83"/>
      <c r="H322" s="83"/>
      <c r="I322" s="83"/>
      <c r="J322" s="83"/>
      <c r="K322" s="215"/>
      <c r="L322" s="215"/>
      <c r="M322" s="84"/>
      <c r="N322" s="2"/>
      <c r="O322" s="2"/>
      <c r="P322" s="2"/>
      <c r="Q322" s="2"/>
      <c r="R322" s="2"/>
    </row>
    <row r="323" spans="1:18" ht="15">
      <c r="A323" s="2"/>
      <c r="B323" s="2"/>
      <c r="C323" s="83"/>
      <c r="D323" s="83"/>
      <c r="E323" s="83"/>
      <c r="F323" s="83"/>
      <c r="G323" s="83"/>
      <c r="H323" s="83"/>
      <c r="I323" s="83"/>
      <c r="J323" s="83"/>
      <c r="K323" s="215"/>
      <c r="L323" s="215"/>
      <c r="M323" s="84"/>
      <c r="N323" s="2"/>
      <c r="O323" s="2"/>
      <c r="P323" s="2"/>
      <c r="Q323" s="2"/>
      <c r="R323" s="2"/>
    </row>
    <row r="324" spans="1:18" ht="15">
      <c r="A324" s="2"/>
      <c r="B324" s="2"/>
      <c r="C324" s="83"/>
      <c r="D324" s="83"/>
      <c r="E324" s="83"/>
      <c r="F324" s="83"/>
      <c r="G324" s="83"/>
      <c r="H324" s="83"/>
      <c r="I324" s="83"/>
      <c r="J324" s="83"/>
      <c r="K324" s="215"/>
      <c r="L324" s="215"/>
      <c r="M324" s="84"/>
      <c r="N324" s="2"/>
      <c r="O324" s="2"/>
      <c r="P324" s="2"/>
      <c r="Q324" s="2"/>
      <c r="R324" s="2"/>
    </row>
    <row r="325" spans="1:18" ht="15">
      <c r="A325" s="2"/>
      <c r="B325" s="2"/>
      <c r="C325" s="83"/>
      <c r="D325" s="83"/>
      <c r="E325" s="83"/>
      <c r="F325" s="83"/>
      <c r="G325" s="83"/>
      <c r="H325" s="83"/>
      <c r="I325" s="83"/>
      <c r="J325" s="83"/>
      <c r="K325" s="215"/>
      <c r="L325" s="215"/>
      <c r="M325" s="84"/>
      <c r="N325" s="2"/>
      <c r="O325" s="2"/>
      <c r="P325" s="2"/>
      <c r="Q325" s="2"/>
      <c r="R325" s="2"/>
    </row>
    <row r="326" spans="1:18" ht="15">
      <c r="A326" s="2"/>
      <c r="B326" s="2"/>
      <c r="C326" s="83"/>
      <c r="D326" s="83"/>
      <c r="E326" s="83"/>
      <c r="F326" s="83"/>
      <c r="G326" s="83"/>
      <c r="H326" s="83"/>
      <c r="I326" s="83"/>
      <c r="J326" s="83"/>
      <c r="K326" s="215"/>
      <c r="L326" s="215"/>
      <c r="M326" s="84"/>
      <c r="N326" s="2"/>
      <c r="O326" s="2"/>
      <c r="P326" s="2"/>
      <c r="Q326" s="2"/>
      <c r="R326" s="2"/>
    </row>
    <row r="327" spans="1:18" ht="15">
      <c r="A327" s="2"/>
      <c r="B327" s="2"/>
      <c r="C327" s="83"/>
      <c r="D327" s="83"/>
      <c r="E327" s="83"/>
      <c r="F327" s="83"/>
      <c r="G327" s="83"/>
      <c r="H327" s="83"/>
      <c r="I327" s="83"/>
      <c r="J327" s="83"/>
      <c r="K327" s="215"/>
      <c r="L327" s="215"/>
      <c r="M327" s="84"/>
      <c r="N327" s="2"/>
      <c r="O327" s="2"/>
      <c r="P327" s="2"/>
      <c r="Q327" s="2"/>
      <c r="R327" s="2"/>
    </row>
    <row r="328" spans="1:18" ht="15">
      <c r="A328" s="2"/>
      <c r="B328" s="2"/>
      <c r="C328" s="83"/>
      <c r="D328" s="83"/>
      <c r="E328" s="83"/>
      <c r="F328" s="83"/>
      <c r="G328" s="83"/>
      <c r="H328" s="83"/>
      <c r="I328" s="83"/>
      <c r="J328" s="83"/>
      <c r="K328" s="215"/>
      <c r="L328" s="215"/>
      <c r="M328" s="84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15"/>
      <c r="L329" s="215"/>
      <c r="M329" s="84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15"/>
      <c r="L330" s="215"/>
      <c r="M330" s="84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15"/>
      <c r="L331" s="215"/>
      <c r="M331" s="84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15"/>
      <c r="L332" s="215"/>
      <c r="M332" s="84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15"/>
      <c r="L333" s="215"/>
      <c r="M333" s="84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15"/>
      <c r="L334" s="215"/>
      <c r="M334" s="84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15"/>
      <c r="L335" s="215"/>
      <c r="M335" s="84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15"/>
      <c r="L336" s="215"/>
      <c r="M336" s="84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15"/>
      <c r="L337" s="215"/>
      <c r="M337" s="84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15"/>
      <c r="L338" s="215"/>
      <c r="M338" s="84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15"/>
      <c r="L339" s="215"/>
      <c r="M339" s="84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15"/>
      <c r="L340" s="215"/>
      <c r="M340" s="84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15"/>
      <c r="L341" s="215"/>
      <c r="M341" s="84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15"/>
      <c r="L342" s="215"/>
      <c r="M342" s="84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15"/>
      <c r="L343" s="215"/>
      <c r="M343" s="84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15"/>
      <c r="L344" s="215"/>
      <c r="M344" s="84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15"/>
      <c r="L345" s="215"/>
      <c r="M345" s="84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15"/>
      <c r="L346" s="215"/>
      <c r="M346" s="84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15"/>
      <c r="L347" s="215"/>
      <c r="M347" s="84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15"/>
      <c r="L348" s="215"/>
      <c r="M348" s="84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15"/>
      <c r="L349" s="215"/>
      <c r="M349" s="84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15"/>
      <c r="L350" s="215"/>
      <c r="M350" s="84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15"/>
      <c r="L351" s="215"/>
      <c r="M351" s="84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15"/>
      <c r="L352" s="215"/>
      <c r="M352" s="84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15"/>
      <c r="L353" s="215"/>
      <c r="M353" s="84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15"/>
      <c r="L354" s="215"/>
      <c r="M354" s="84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15"/>
      <c r="L355" s="215"/>
      <c r="M355" s="84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15"/>
      <c r="L356" s="215"/>
      <c r="M356" s="84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15"/>
      <c r="L357" s="215"/>
      <c r="M357" s="84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15"/>
      <c r="L358" s="215"/>
      <c r="M358" s="84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15"/>
      <c r="L359" s="215"/>
      <c r="M359" s="84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15"/>
      <c r="L360" s="215"/>
      <c r="M360" s="84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15"/>
      <c r="L361" s="215"/>
      <c r="M361" s="84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15"/>
      <c r="L362" s="215"/>
      <c r="M362" s="84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15"/>
      <c r="L363" s="215"/>
      <c r="M363" s="84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15"/>
      <c r="L364" s="215"/>
      <c r="M364" s="84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15"/>
      <c r="L365" s="215"/>
      <c r="M365" s="84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15"/>
      <c r="L366" s="215"/>
      <c r="M366" s="84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15"/>
      <c r="L367" s="215"/>
      <c r="M367" s="84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15"/>
      <c r="L368" s="215"/>
      <c r="M368" s="84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15"/>
      <c r="L369" s="215"/>
      <c r="M369" s="84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15"/>
      <c r="L370" s="215"/>
      <c r="M370" s="84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15"/>
      <c r="L371" s="215"/>
      <c r="M371" s="84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15"/>
      <c r="L372" s="215"/>
      <c r="M372" s="84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15"/>
      <c r="L373" s="215"/>
      <c r="M373" s="84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15"/>
      <c r="L374" s="215"/>
      <c r="M374" s="84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15"/>
      <c r="L375" s="215"/>
      <c r="M375" s="84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15"/>
      <c r="L376" s="215"/>
      <c r="M376" s="84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15"/>
      <c r="L377" s="215"/>
      <c r="M377" s="84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15"/>
      <c r="L378" s="215"/>
      <c r="M378" s="84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15"/>
      <c r="L379" s="215"/>
      <c r="M379" s="84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15"/>
      <c r="L380" s="215"/>
      <c r="M380" s="84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15"/>
      <c r="L381" s="215"/>
      <c r="M381" s="84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15"/>
      <c r="L382" s="215"/>
      <c r="M382" s="84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15"/>
      <c r="L383" s="215"/>
      <c r="M383" s="84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15"/>
      <c r="L384" s="215"/>
      <c r="M384" s="84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15"/>
      <c r="L385" s="215"/>
      <c r="M385" s="84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15"/>
      <c r="L386" s="215"/>
      <c r="M386" s="84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15"/>
      <c r="L387" s="215"/>
      <c r="M387" s="84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15"/>
      <c r="L388" s="215"/>
      <c r="M388" s="84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15"/>
      <c r="L389" s="215"/>
      <c r="M389" s="84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15"/>
      <c r="L390" s="215"/>
      <c r="M390" s="84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15"/>
      <c r="L391" s="215"/>
      <c r="M391" s="84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15"/>
      <c r="L392" s="215"/>
      <c r="M392" s="84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15"/>
      <c r="L393" s="215"/>
      <c r="M393" s="84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15"/>
      <c r="L394" s="215"/>
      <c r="M394" s="84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15"/>
      <c r="L395" s="215"/>
      <c r="M395" s="84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15"/>
      <c r="L396" s="215"/>
      <c r="M396" s="84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15"/>
      <c r="L397" s="215"/>
      <c r="M397" s="84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15"/>
      <c r="L398" s="215"/>
      <c r="M398" s="84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15"/>
      <c r="L399" s="215"/>
      <c r="M399" s="84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15"/>
      <c r="L400" s="215"/>
      <c r="M400" s="84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15"/>
      <c r="L401" s="215"/>
      <c r="M401" s="84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15"/>
      <c r="L402" s="215"/>
      <c r="M402" s="84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15"/>
      <c r="L403" s="215"/>
      <c r="M403" s="84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15"/>
      <c r="L404" s="215"/>
      <c r="M404" s="84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15"/>
      <c r="L405" s="215"/>
      <c r="M405" s="84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15"/>
      <c r="L406" s="215"/>
      <c r="M406" s="84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15"/>
      <c r="L407" s="215"/>
      <c r="M407" s="84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15"/>
      <c r="L408" s="215"/>
      <c r="M408" s="84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15"/>
      <c r="L409" s="215"/>
      <c r="M409" s="84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15"/>
      <c r="L410" s="215"/>
      <c r="M410" s="84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15"/>
      <c r="L411" s="215"/>
      <c r="M411" s="84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15"/>
      <c r="L412" s="215"/>
      <c r="M412" s="84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15"/>
      <c r="L413" s="215"/>
      <c r="M413" s="84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15"/>
      <c r="L414" s="215"/>
      <c r="M414" s="84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15"/>
      <c r="L415" s="215"/>
      <c r="M415" s="84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15"/>
      <c r="L416" s="215"/>
      <c r="M416" s="84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15"/>
      <c r="L417" s="215"/>
      <c r="M417" s="84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15"/>
      <c r="L418" s="215"/>
      <c r="M418" s="84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15"/>
      <c r="L419" s="215"/>
      <c r="M419" s="84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15"/>
      <c r="L420" s="215"/>
      <c r="M420" s="84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15"/>
      <c r="L421" s="215"/>
      <c r="M421" s="84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15"/>
      <c r="L422" s="215"/>
      <c r="M422" s="84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15"/>
      <c r="L423" s="215"/>
      <c r="M423" s="84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15"/>
      <c r="L424" s="215"/>
      <c r="M424" s="84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15"/>
      <c r="L425" s="215"/>
      <c r="M425" s="84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15"/>
      <c r="L426" s="215"/>
      <c r="M426" s="84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15"/>
      <c r="L427" s="215"/>
      <c r="M427" s="84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15"/>
      <c r="L428" s="215"/>
      <c r="M428" s="84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15"/>
      <c r="L429" s="215"/>
      <c r="M429" s="84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15"/>
      <c r="L430" s="215"/>
      <c r="M430" s="84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15"/>
      <c r="L431" s="215"/>
      <c r="M431" s="84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15"/>
      <c r="L432" s="215"/>
      <c r="M432" s="84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15"/>
      <c r="L433" s="215"/>
      <c r="M433" s="84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15"/>
      <c r="L434" s="215"/>
      <c r="M434" s="84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15"/>
      <c r="L435" s="215"/>
      <c r="M435" s="84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15"/>
      <c r="L436" s="215"/>
      <c r="M436" s="84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15"/>
      <c r="L437" s="215"/>
      <c r="M437" s="84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15"/>
      <c r="L438" s="215"/>
      <c r="M438" s="84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15"/>
      <c r="L439" s="215"/>
      <c r="M439" s="84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15"/>
      <c r="L440" s="215"/>
      <c r="M440" s="84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15"/>
      <c r="L441" s="215"/>
      <c r="M441" s="84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15"/>
      <c r="L442" s="215"/>
      <c r="M442" s="84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15"/>
      <c r="L443" s="215"/>
      <c r="M443" s="84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15"/>
      <c r="L444" s="215"/>
      <c r="M444" s="84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15"/>
      <c r="L445" s="215"/>
      <c r="M445" s="84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15"/>
      <c r="L446" s="215"/>
      <c r="M446" s="84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15"/>
      <c r="L447" s="215"/>
      <c r="M447" s="84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15"/>
      <c r="L448" s="215"/>
      <c r="M448" s="84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15"/>
      <c r="L449" s="215"/>
      <c r="M449" s="84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15"/>
      <c r="L450" s="215"/>
      <c r="M450" s="84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15"/>
      <c r="L451" s="215"/>
      <c r="M451" s="84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15"/>
      <c r="L452" s="215"/>
      <c r="M452" s="84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15"/>
      <c r="L453" s="215"/>
      <c r="M453" s="84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15"/>
      <c r="L454" s="215"/>
      <c r="M454" s="84"/>
      <c r="N454" s="2"/>
      <c r="O454" s="2"/>
      <c r="P454" s="2"/>
      <c r="Q454" s="2"/>
      <c r="R454" s="2"/>
    </row>
  </sheetData>
  <printOptions horizontalCentered="1"/>
  <pageMargins left="0.7" right="0.25" top="0.319444444444444" bottom="0.2" header="0.5" footer="0.5"/>
  <pageSetup horizontalDpi="600" verticalDpi="600" orientation="landscape" scale="60" r:id="rId1"/>
  <rowBreaks count="3" manualBreakCount="3">
    <brk id="59" max="12" man="1"/>
    <brk id="111" max="12" man="1"/>
    <brk id="1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OutlineSymbols="0" zoomScale="87" zoomScaleNormal="87" workbookViewId="0" topLeftCell="A1">
      <selection activeCell="A3" sqref="A3"/>
    </sheetView>
  </sheetViews>
  <sheetFormatPr defaultColWidth="8.88671875" defaultRowHeight="15"/>
  <cols>
    <col min="1" max="1" width="11.88671875" style="89" customWidth="1"/>
    <col min="2" max="2" width="10.99609375" style="89" customWidth="1"/>
    <col min="3" max="3" width="16.10546875" style="89" customWidth="1"/>
    <col min="4" max="4" width="16.21484375" style="89" customWidth="1"/>
    <col min="5" max="5" width="12.88671875" style="89" customWidth="1"/>
    <col min="6" max="6" width="14.3359375" style="89" customWidth="1"/>
    <col min="7" max="7" width="17.88671875" style="89" customWidth="1"/>
    <col min="8" max="8" width="15.4453125" style="89" customWidth="1"/>
    <col min="9" max="9" width="14.6640625" style="89" customWidth="1"/>
    <col min="10" max="10" width="11.5546875" style="89" customWidth="1"/>
    <col min="11" max="11" width="12.77734375" style="89" customWidth="1"/>
    <col min="12" max="12" width="14.5546875" style="89" customWidth="1"/>
    <col min="13" max="13" width="10.21484375" style="89" customWidth="1"/>
    <col min="14" max="14" width="13.88671875" style="89" customWidth="1"/>
    <col min="15" max="15" width="3.77734375" style="89" customWidth="1"/>
    <col min="16" max="16384" width="9.6640625" style="89" customWidth="1"/>
  </cols>
  <sheetData>
    <row r="1" spans="1:14" ht="23.25">
      <c r="A1" s="87" t="s">
        <v>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3.25">
      <c r="A2" s="87" t="s">
        <v>24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3.25">
      <c r="A3" s="87" t="s">
        <v>73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23.25">
      <c r="A4" s="87"/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" thickBot="1">
      <c r="A5" s="87" t="s">
        <v>25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ht="16.5" thickTop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 t="s">
        <v>26</v>
      </c>
      <c r="O6" s="92"/>
    </row>
    <row r="7" spans="1:15" ht="15.75">
      <c r="A7" s="93" t="s">
        <v>27</v>
      </c>
      <c r="B7" s="94" t="s">
        <v>13</v>
      </c>
      <c r="C7" s="94" t="s">
        <v>15</v>
      </c>
      <c r="D7" s="94" t="s">
        <v>60</v>
      </c>
      <c r="E7" s="94" t="s">
        <v>28</v>
      </c>
      <c r="F7" s="94" t="s">
        <v>17</v>
      </c>
      <c r="G7" s="94" t="s">
        <v>18</v>
      </c>
      <c r="H7" s="94" t="s">
        <v>59</v>
      </c>
      <c r="I7" s="94" t="s">
        <v>29</v>
      </c>
      <c r="J7" s="94" t="s">
        <v>64</v>
      </c>
      <c r="K7" s="94" t="s">
        <v>57</v>
      </c>
      <c r="L7" s="94" t="s">
        <v>20</v>
      </c>
      <c r="M7" s="94" t="s">
        <v>58</v>
      </c>
      <c r="N7" s="94" t="s">
        <v>30</v>
      </c>
      <c r="O7" s="92"/>
    </row>
    <row r="8" spans="1:15" ht="15.75" thickBo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2"/>
    </row>
    <row r="9" spans="1:15" ht="15.75" thickTop="1">
      <c r="A9" s="96"/>
      <c r="B9" s="96"/>
      <c r="C9" s="96"/>
      <c r="D9" s="96"/>
      <c r="E9" s="97"/>
      <c r="F9" s="97"/>
      <c r="G9" s="97"/>
      <c r="H9" s="97"/>
      <c r="I9" s="96"/>
      <c r="J9" s="96"/>
      <c r="K9" s="96"/>
      <c r="L9" s="96"/>
      <c r="M9" s="96"/>
      <c r="N9" s="96"/>
      <c r="O9" s="92"/>
    </row>
    <row r="10" spans="1:15" ht="15.75">
      <c r="A10" s="98">
        <f>DATE(2010,7,1)</f>
        <v>40360</v>
      </c>
      <c r="B10" s="99">
        <f>'MONTHLY STATS'!$C$9*2</f>
        <v>938166</v>
      </c>
      <c r="C10" s="99">
        <f>'MONTHLY STATS'!$C$22*2</f>
        <v>409390</v>
      </c>
      <c r="D10" s="99">
        <f>'MONTHLY STATS'!$C$35*2</f>
        <v>193880</v>
      </c>
      <c r="E10" s="99">
        <f>'MONTHLY STATS'!$C$48*2</f>
        <v>1367338</v>
      </c>
      <c r="F10" s="99">
        <f>'MONTHLY STATS'!$C$61*2</f>
        <v>940864</v>
      </c>
      <c r="G10" s="99">
        <f>'MONTHLY STATS'!$C$74*2</f>
        <v>541510</v>
      </c>
      <c r="H10" s="99">
        <f>'MONTHLY STATS'!$C$87*2</f>
        <v>1204578</v>
      </c>
      <c r="I10" s="99">
        <f>'MONTHLY STATS'!$C$100*2</f>
        <v>1509066</v>
      </c>
      <c r="J10" s="99">
        <f>'MONTHLY STATS'!$C$113*2</f>
        <v>1112942</v>
      </c>
      <c r="K10" s="99">
        <f>'MONTHLY STATS'!$C$139*2</f>
        <v>221012</v>
      </c>
      <c r="L10" s="99">
        <f>'MONTHLY STATS'!$C$152*2</f>
        <v>1498962</v>
      </c>
      <c r="M10" s="99">
        <f>'MONTHLY STATS'!$C$165*2</f>
        <v>236936</v>
      </c>
      <c r="N10" s="100">
        <f aca="true" t="shared" si="0" ref="N10:N15">SUM(B10:M10)</f>
        <v>10174644</v>
      </c>
      <c r="O10" s="92"/>
    </row>
    <row r="11" spans="1:15" ht="15.75">
      <c r="A11" s="98">
        <f>DATE(2010,8,1)</f>
        <v>40391</v>
      </c>
      <c r="B11" s="99">
        <f>'MONTHLY STATS'!$C$10*2</f>
        <v>897512</v>
      </c>
      <c r="C11" s="99">
        <f>'MONTHLY STATS'!$C$23*2</f>
        <v>412326</v>
      </c>
      <c r="D11" s="99">
        <f>'MONTHLY STATS'!$C$36*2</f>
        <v>164964</v>
      </c>
      <c r="E11" s="99">
        <f>'MONTHLY STATS'!$C$49*2</f>
        <v>1225586</v>
      </c>
      <c r="F11" s="99">
        <f>'MONTHLY STATS'!$C$62*2</f>
        <v>874186</v>
      </c>
      <c r="G11" s="99">
        <f>'MONTHLY STATS'!$C$75*2</f>
        <v>532908</v>
      </c>
      <c r="H11" s="99">
        <f>'MONTHLY STATS'!$C$88*2</f>
        <v>1155518</v>
      </c>
      <c r="I11" s="99">
        <f>'MONTHLY STATS'!$C$101*2</f>
        <v>1331940</v>
      </c>
      <c r="J11" s="99">
        <f>'MONTHLY STATS'!$C$114*2</f>
        <v>1120894</v>
      </c>
      <c r="K11" s="99">
        <f>'MONTHLY STATS'!$C$140*2</f>
        <v>200718</v>
      </c>
      <c r="L11" s="99">
        <f>'MONTHLY STATS'!$C$153*2</f>
        <v>1326410</v>
      </c>
      <c r="M11" s="99">
        <f>'MONTHLY STATS'!$C$166*2</f>
        <v>228648</v>
      </c>
      <c r="N11" s="100">
        <f t="shared" si="0"/>
        <v>9471610</v>
      </c>
      <c r="O11" s="92"/>
    </row>
    <row r="12" spans="1:15" ht="15.75">
      <c r="A12" s="98">
        <f>DATE(2010,9,1)</f>
        <v>40422</v>
      </c>
      <c r="B12" s="99">
        <f>'MONTHLY STATS'!$C$11*2</f>
        <v>888276</v>
      </c>
      <c r="C12" s="99">
        <f>'MONTHLY STATS'!$C$24*2</f>
        <v>383300</v>
      </c>
      <c r="D12" s="99">
        <f>'MONTHLY STATS'!$C$37*2</f>
        <v>172120</v>
      </c>
      <c r="E12" s="99">
        <f>'MONTHLY STATS'!$C$50*2</f>
        <v>1174706</v>
      </c>
      <c r="F12" s="99">
        <f>'MONTHLY STATS'!$C$63*2</f>
        <v>854448</v>
      </c>
      <c r="G12" s="99">
        <f>'MONTHLY STATS'!$C$76*2</f>
        <v>504344</v>
      </c>
      <c r="H12" s="99">
        <f>'MONTHLY STATS'!$C$89*2</f>
        <v>1127598</v>
      </c>
      <c r="I12" s="99">
        <f>'MONTHLY STATS'!$C$102*2</f>
        <v>1256452</v>
      </c>
      <c r="J12" s="99">
        <f>'MONTHLY STATS'!$C$115*2</f>
        <v>1055350</v>
      </c>
      <c r="K12" s="99">
        <f>'MONTHLY STATS'!$C$141*2</f>
        <v>196990</v>
      </c>
      <c r="L12" s="99">
        <f>'MONTHLY STATS'!$C$154*2</f>
        <v>1230546</v>
      </c>
      <c r="M12" s="99">
        <f>'MONTHLY STATS'!$C$167*2</f>
        <v>218448</v>
      </c>
      <c r="N12" s="100">
        <f t="shared" si="0"/>
        <v>9062578</v>
      </c>
      <c r="O12" s="92"/>
    </row>
    <row r="13" spans="1:15" ht="15.75">
      <c r="A13" s="98">
        <f>DATE(2010,10,1)</f>
        <v>40452</v>
      </c>
      <c r="B13" s="99">
        <f>'MONTHLY STATS'!$C$12*2</f>
        <v>913806</v>
      </c>
      <c r="C13" s="99">
        <f>'MONTHLY STATS'!$C$25*2</f>
        <v>393986</v>
      </c>
      <c r="D13" s="99">
        <f>'MONTHLY STATS'!$C$38*2</f>
        <v>165744</v>
      </c>
      <c r="E13" s="99">
        <f>'MONTHLY STATS'!$C$51*2</f>
        <v>1173592</v>
      </c>
      <c r="F13" s="99">
        <f>'MONTHLY STATS'!$C$64*2</f>
        <v>875376</v>
      </c>
      <c r="G13" s="99">
        <f>'MONTHLY STATS'!$C$77*2</f>
        <v>559568</v>
      </c>
      <c r="H13" s="99">
        <f>'MONTHLY STATS'!$C$90*2</f>
        <v>1101118</v>
      </c>
      <c r="I13" s="99">
        <f>'MONTHLY STATS'!$C$103*2</f>
        <v>1296074</v>
      </c>
      <c r="J13" s="99">
        <f>'MONTHLY STATS'!$C$116*2</f>
        <v>1044962</v>
      </c>
      <c r="K13" s="99">
        <f>'MONTHLY STATS'!$C$142*2</f>
        <v>205104</v>
      </c>
      <c r="L13" s="99">
        <f>'MONTHLY STATS'!$C$155*2</f>
        <v>1300366</v>
      </c>
      <c r="M13" s="99">
        <f>'MONTHLY STATS'!$C$168*2</f>
        <v>226814</v>
      </c>
      <c r="N13" s="100">
        <f t="shared" si="0"/>
        <v>9256510</v>
      </c>
      <c r="O13" s="92"/>
    </row>
    <row r="14" spans="1:15" ht="15.75">
      <c r="A14" s="98">
        <f>DATE(2010,11,1)</f>
        <v>40483</v>
      </c>
      <c r="B14" s="99">
        <f>'MONTHLY STATS'!$C$13*2</f>
        <v>837432</v>
      </c>
      <c r="C14" s="99">
        <f>'MONTHLY STATS'!$C$26*2</f>
        <v>353970</v>
      </c>
      <c r="D14" s="99">
        <f>'MONTHLY STATS'!$C$39*2</f>
        <v>141502</v>
      </c>
      <c r="E14" s="99">
        <f>'MONTHLY STATS'!$C$52*2</f>
        <v>1103046</v>
      </c>
      <c r="F14" s="99">
        <f>'MONTHLY STATS'!$C$65*2</f>
        <v>813842</v>
      </c>
      <c r="G14" s="99">
        <f>'MONTHLY STATS'!$C$78*2</f>
        <v>478856</v>
      </c>
      <c r="H14" s="99">
        <f>'MONTHLY STATS'!$C$91*2</f>
        <v>956042</v>
      </c>
      <c r="I14" s="99">
        <f>'MONTHLY STATS'!$C$104*2</f>
        <v>1223128</v>
      </c>
      <c r="J14" s="99">
        <f>'MONTHLY STATS'!$C$117*2</f>
        <v>942326</v>
      </c>
      <c r="K14" s="99">
        <f>'MONTHLY STATS'!$C$143*2</f>
        <v>183326</v>
      </c>
      <c r="L14" s="99">
        <f>'MONTHLY STATS'!$C$156*2</f>
        <v>1280074</v>
      </c>
      <c r="M14" s="99">
        <f>'MONTHLY STATS'!$C$169*2</f>
        <v>207422</v>
      </c>
      <c r="N14" s="100">
        <f t="shared" si="0"/>
        <v>8520966</v>
      </c>
      <c r="O14" s="92"/>
    </row>
    <row r="15" spans="1:15" ht="15.75">
      <c r="A15" s="98">
        <f>DATE(2010,12,1)</f>
        <v>40513</v>
      </c>
      <c r="B15" s="99">
        <f>'MONTHLY STATS'!$C$14*2</f>
        <v>887868</v>
      </c>
      <c r="C15" s="99">
        <f>'MONTHLY STATS'!$C$27*2</f>
        <v>326688</v>
      </c>
      <c r="D15" s="99">
        <f>'MONTHLY STATS'!$C$40*2</f>
        <v>144828</v>
      </c>
      <c r="E15" s="99">
        <f>'MONTHLY STATS'!$C$53*2</f>
        <v>1100854</v>
      </c>
      <c r="F15" s="99">
        <f>'MONTHLY STATS'!$C$66*2</f>
        <v>848934</v>
      </c>
      <c r="G15" s="99">
        <f>'MONTHLY STATS'!$C$79*2</f>
        <v>487440</v>
      </c>
      <c r="H15" s="99">
        <f>'MONTHLY STATS'!$C$92*2</f>
        <v>1055374</v>
      </c>
      <c r="I15" s="99">
        <f>'MONTHLY STATS'!$C$105*2</f>
        <v>1332608</v>
      </c>
      <c r="J15" s="99">
        <f>'MONTHLY STATS'!$C$118*2</f>
        <v>978710</v>
      </c>
      <c r="K15" s="99">
        <f>'MONTHLY STATS'!$C$144*2</f>
        <v>192174</v>
      </c>
      <c r="L15" s="99">
        <f>'MONTHLY STATS'!$C$157*2</f>
        <v>1325982</v>
      </c>
      <c r="M15" s="99">
        <f>'MONTHLY STATS'!$C$170*2</f>
        <v>217234</v>
      </c>
      <c r="N15" s="100">
        <f t="shared" si="0"/>
        <v>8898694</v>
      </c>
      <c r="O15" s="92"/>
    </row>
    <row r="16" spans="1:15" ht="15.75">
      <c r="A16" s="98">
        <f>DATE(2011,1,1)</f>
        <v>40544</v>
      </c>
      <c r="B16" s="99">
        <f>'MONTHLY STATS'!$C$15*2</f>
        <v>838616</v>
      </c>
      <c r="C16" s="99">
        <f>'MONTHLY STATS'!$C$28*2</f>
        <v>326096</v>
      </c>
      <c r="D16" s="99">
        <f>'MONTHLY STATS'!$C$41*2</f>
        <v>149210</v>
      </c>
      <c r="E16" s="99">
        <f>'MONTHLY STATS'!$C$54*2</f>
        <v>1100840</v>
      </c>
      <c r="F16" s="99">
        <f>'MONTHLY STATS'!$C$67*2</f>
        <v>779086</v>
      </c>
      <c r="G16" s="99">
        <f>'MONTHLY STATS'!$C$80*2</f>
        <v>462048</v>
      </c>
      <c r="H16" s="99">
        <f>'MONTHLY STATS'!$C$93*2</f>
        <v>1037754</v>
      </c>
      <c r="I16" s="99">
        <f>'MONTHLY STATS'!$C$106*2</f>
        <v>1231530</v>
      </c>
      <c r="J16" s="99">
        <f>'MONTHLY STATS'!$C$119*2</f>
        <v>1016622</v>
      </c>
      <c r="K16" s="99">
        <f>'MONTHLY STATS'!$C$145*2</f>
        <v>182446</v>
      </c>
      <c r="L16" s="99">
        <f>'MONTHLY STATS'!$C$158*2</f>
        <v>1333610</v>
      </c>
      <c r="M16" s="99">
        <f>'MONTHLY STATS'!$C$171*2</f>
        <v>202392</v>
      </c>
      <c r="N16" s="100">
        <f>SUM(B16:M16)</f>
        <v>8660250</v>
      </c>
      <c r="O16" s="92"/>
    </row>
    <row r="17" spans="1:15" ht="15.75">
      <c r="A17" s="98">
        <f>DATE(2011,2,1)</f>
        <v>40575</v>
      </c>
      <c r="B17" s="99">
        <f>'MONTHLY STATS'!$C$16*2</f>
        <v>838144</v>
      </c>
      <c r="C17" s="99">
        <f>'MONTHLY STATS'!$C$29*2</f>
        <v>360206</v>
      </c>
      <c r="D17" s="99">
        <f>'MONTHLY STATS'!$C$42*2</f>
        <v>168346</v>
      </c>
      <c r="E17" s="99">
        <f>'MONTHLY STATS'!$C$55*2</f>
        <v>1087368</v>
      </c>
      <c r="F17" s="99">
        <f>'MONTHLY STATS'!$C$68*2</f>
        <v>785490</v>
      </c>
      <c r="G17" s="99">
        <f>'MONTHLY STATS'!$C$81*2</f>
        <v>487720</v>
      </c>
      <c r="H17" s="99">
        <f>'MONTHLY STATS'!$C$94*2</f>
        <v>1127848</v>
      </c>
      <c r="I17" s="99">
        <f>'MONTHLY STATS'!$C$107*2</f>
        <v>1140824</v>
      </c>
      <c r="J17" s="99">
        <f>'MONTHLY STATS'!$C$120*2</f>
        <v>1038072</v>
      </c>
      <c r="K17" s="99">
        <f>'MONTHLY STATS'!$C$146*2</f>
        <v>186370</v>
      </c>
      <c r="L17" s="99">
        <f>'MONTHLY STATS'!$C$159*2</f>
        <v>1248332</v>
      </c>
      <c r="M17" s="99">
        <f>'MONTHLY STATS'!$C$172*2</f>
        <v>221852</v>
      </c>
      <c r="N17" s="100">
        <f>SUM(B17:M17)</f>
        <v>8690572</v>
      </c>
      <c r="O17" s="92"/>
    </row>
    <row r="18" spans="1:15" ht="15.75">
      <c r="A18" s="98">
        <f>DATE(2011,3,1)</f>
        <v>40603</v>
      </c>
      <c r="B18" s="99">
        <f>'MONTHLY STATS'!$C$17*2</f>
        <v>938790</v>
      </c>
      <c r="C18" s="99">
        <f>'MONTHLY STATS'!$C$30*2</f>
        <v>394038</v>
      </c>
      <c r="D18" s="99">
        <f>'MONTHLY STATS'!$C$43*2</f>
        <v>173196</v>
      </c>
      <c r="E18" s="99">
        <f>'MONTHLY STATS'!$C$56*2</f>
        <v>1157860</v>
      </c>
      <c r="F18" s="99">
        <f>'MONTHLY STATS'!$C$69*2</f>
        <v>896248</v>
      </c>
      <c r="G18" s="99">
        <f>'MONTHLY STATS'!$C$82*2</f>
        <v>530860</v>
      </c>
      <c r="H18" s="99">
        <f>'MONTHLY STATS'!$C$95*2</f>
        <v>1182818</v>
      </c>
      <c r="I18" s="99">
        <f>'MONTHLY STATS'!$C$108*2</f>
        <v>1276318</v>
      </c>
      <c r="J18" s="99">
        <f>'MONTHLY STATS'!$C$121*2</f>
        <v>1171290</v>
      </c>
      <c r="K18" s="99">
        <f>'MONTHLY STATS'!$C$147*2</f>
        <v>212602</v>
      </c>
      <c r="L18" s="99">
        <f>'MONTHLY STATS'!$C$160*2</f>
        <v>1317416</v>
      </c>
      <c r="M18" s="99">
        <f>'MONTHLY STATS'!$C$173*2</f>
        <v>246288</v>
      </c>
      <c r="N18" s="100">
        <f>SUM(B18:M18)</f>
        <v>9497724</v>
      </c>
      <c r="O18" s="92"/>
    </row>
    <row r="19" spans="1:15" ht="15.75">
      <c r="A19" s="98">
        <f>DATE(2011,4,1)</f>
        <v>40634</v>
      </c>
      <c r="B19" s="99">
        <f>'MONTHLY STATS'!$C$18*2</f>
        <v>881728</v>
      </c>
      <c r="C19" s="99">
        <f>'MONTHLY STATS'!$C$31*2</f>
        <v>373952</v>
      </c>
      <c r="D19" s="99">
        <f>'MONTHLY STATS'!$C$44*2</f>
        <v>150030</v>
      </c>
      <c r="E19" s="99">
        <f>'MONTHLY STATS'!$C$57*2</f>
        <v>1254914</v>
      </c>
      <c r="F19" s="99">
        <f>'MONTHLY STATS'!$C$70*2</f>
        <v>839894</v>
      </c>
      <c r="G19" s="99">
        <f>'MONTHLY STATS'!$C$83*2</f>
        <v>502120</v>
      </c>
      <c r="H19" s="99">
        <f>'MONTHLY STATS'!$C$96*2</f>
        <v>1083218</v>
      </c>
      <c r="I19" s="99">
        <f>'MONTHLY STATS'!$C$109*2</f>
        <v>1196430</v>
      </c>
      <c r="J19" s="99">
        <f>'MONTHLY STATS'!$C$122*2</f>
        <v>1082494</v>
      </c>
      <c r="K19" s="99">
        <f>'MONTHLY STATS'!$C$148*2</f>
        <v>189972</v>
      </c>
      <c r="L19" s="99">
        <f>'MONTHLY STATS'!$C$161*2</f>
        <v>1265772</v>
      </c>
      <c r="M19" s="99">
        <f>'MONTHLY STATS'!$C$174*2</f>
        <v>228790</v>
      </c>
      <c r="N19" s="100">
        <f>SUM(B19:M19)</f>
        <v>9049314</v>
      </c>
      <c r="O19" s="92"/>
    </row>
    <row r="20" spans="1:15" ht="15.7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  <c r="O20" s="92"/>
    </row>
    <row r="21" spans="1:15" ht="15.7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92"/>
    </row>
    <row r="22" spans="1:15" ht="15.7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92"/>
    </row>
    <row r="23" spans="1:15" ht="15.75">
      <c r="A23" s="101" t="s">
        <v>31</v>
      </c>
      <c r="B23" s="100">
        <f aca="true" t="shared" si="1" ref="B23:N23">SUM(B10:B21)</f>
        <v>8860338</v>
      </c>
      <c r="C23" s="100">
        <f t="shared" si="1"/>
        <v>3733952</v>
      </c>
      <c r="D23" s="100">
        <f t="shared" si="1"/>
        <v>1623820</v>
      </c>
      <c r="E23" s="100">
        <f t="shared" si="1"/>
        <v>11746104</v>
      </c>
      <c r="F23" s="100">
        <f t="shared" si="1"/>
        <v>8508368</v>
      </c>
      <c r="G23" s="100">
        <f t="shared" si="1"/>
        <v>5087374</v>
      </c>
      <c r="H23" s="100">
        <f>SUM(H10:H21)</f>
        <v>11031866</v>
      </c>
      <c r="I23" s="100">
        <f t="shared" si="1"/>
        <v>12794370</v>
      </c>
      <c r="J23" s="100">
        <f>SUM(J10:J21)</f>
        <v>10563662</v>
      </c>
      <c r="K23" s="100">
        <f t="shared" si="1"/>
        <v>1970714</v>
      </c>
      <c r="L23" s="100">
        <f t="shared" si="1"/>
        <v>13127470</v>
      </c>
      <c r="M23" s="100">
        <f t="shared" si="1"/>
        <v>2234824</v>
      </c>
      <c r="N23" s="100">
        <f t="shared" si="1"/>
        <v>91282862</v>
      </c>
      <c r="O23" s="92"/>
    </row>
    <row r="24" spans="1:15" ht="16.5" thickBot="1">
      <c r="A24" s="102"/>
      <c r="B24" s="100"/>
      <c r="C24" s="100"/>
      <c r="D24" s="100"/>
      <c r="E24" s="99"/>
      <c r="F24" s="99"/>
      <c r="G24" s="99"/>
      <c r="H24" s="99"/>
      <c r="I24" s="100"/>
      <c r="J24" s="100"/>
      <c r="K24" s="100"/>
      <c r="L24" s="100"/>
      <c r="M24" s="100"/>
      <c r="N24" s="100"/>
      <c r="O24" s="92"/>
    </row>
    <row r="25" spans="1:14" ht="15.75" thickTop="1">
      <c r="A25" s="103"/>
      <c r="B25" s="104"/>
      <c r="C25" s="104"/>
      <c r="D25" s="104"/>
      <c r="E25" s="104"/>
      <c r="F25" s="104"/>
      <c r="G25" s="104"/>
      <c r="H25" s="104"/>
      <c r="I25" s="104"/>
      <c r="J25" s="105"/>
      <c r="K25" s="105"/>
      <c r="L25" s="105"/>
      <c r="M25" s="105"/>
      <c r="N25" s="105"/>
    </row>
    <row r="26" spans="1:14" ht="24" thickBot="1">
      <c r="A26" s="106" t="s">
        <v>32</v>
      </c>
      <c r="B26" s="107"/>
      <c r="C26" s="108"/>
      <c r="D26" s="108"/>
      <c r="E26" s="108"/>
      <c r="F26" s="108"/>
      <c r="G26" s="108"/>
      <c r="H26" s="108"/>
      <c r="I26" s="108"/>
      <c r="J26" s="109"/>
      <c r="K26" s="109"/>
      <c r="L26" s="109"/>
      <c r="M26" s="109"/>
      <c r="N26" s="109"/>
    </row>
    <row r="27" spans="1:15" ht="16.5" thickTop="1">
      <c r="A27" s="110"/>
      <c r="B27" s="111"/>
      <c r="C27" s="111"/>
      <c r="D27" s="111"/>
      <c r="E27" s="112"/>
      <c r="F27" s="112"/>
      <c r="G27" s="112"/>
      <c r="H27" s="112"/>
      <c r="I27" s="111"/>
      <c r="J27" s="113"/>
      <c r="K27" s="113"/>
      <c r="L27" s="113"/>
      <c r="M27" s="113"/>
      <c r="N27" s="114" t="s">
        <v>26</v>
      </c>
      <c r="O27" s="92"/>
    </row>
    <row r="28" spans="1:15" ht="15.75">
      <c r="A28" s="115" t="s">
        <v>27</v>
      </c>
      <c r="B28" s="94" t="s">
        <v>13</v>
      </c>
      <c r="C28" s="94" t="s">
        <v>15</v>
      </c>
      <c r="D28" s="94" t="s">
        <v>60</v>
      </c>
      <c r="E28" s="94" t="s">
        <v>28</v>
      </c>
      <c r="F28" s="94" t="s">
        <v>17</v>
      </c>
      <c r="G28" s="94" t="s">
        <v>18</v>
      </c>
      <c r="H28" s="94" t="s">
        <v>59</v>
      </c>
      <c r="I28" s="94" t="s">
        <v>29</v>
      </c>
      <c r="J28" s="116" t="s">
        <v>64</v>
      </c>
      <c r="K28" s="116" t="s">
        <v>57</v>
      </c>
      <c r="L28" s="116" t="s">
        <v>20</v>
      </c>
      <c r="M28" s="116" t="s">
        <v>58</v>
      </c>
      <c r="N28" s="116" t="s">
        <v>30</v>
      </c>
      <c r="O28" s="92"/>
    </row>
    <row r="29" spans="1:15" ht="16.5" thickBot="1">
      <c r="A29" s="117"/>
      <c r="B29" s="118"/>
      <c r="C29" s="118"/>
      <c r="D29" s="118"/>
      <c r="E29" s="94"/>
      <c r="F29" s="94"/>
      <c r="G29" s="94"/>
      <c r="H29" s="94"/>
      <c r="I29" s="118"/>
      <c r="J29" s="119"/>
      <c r="K29" s="119"/>
      <c r="L29" s="119"/>
      <c r="M29" s="119"/>
      <c r="N29" s="119"/>
      <c r="O29" s="92"/>
    </row>
    <row r="30" spans="1:15" ht="15.75" thickTop="1">
      <c r="A30" s="120"/>
      <c r="B30" s="121"/>
      <c r="C30" s="121"/>
      <c r="D30" s="121"/>
      <c r="E30" s="122"/>
      <c r="F30" s="122"/>
      <c r="G30" s="122"/>
      <c r="H30" s="122"/>
      <c r="I30" s="121"/>
      <c r="J30" s="123"/>
      <c r="K30" s="123"/>
      <c r="L30" s="123"/>
      <c r="M30" s="123"/>
      <c r="N30" s="123"/>
      <c r="O30" s="92"/>
    </row>
    <row r="31" spans="1:15" ht="15.75">
      <c r="A31" s="98">
        <f>DATE(2010,7,1)</f>
        <v>40360</v>
      </c>
      <c r="B31" s="99">
        <f>'MONTHLY STATS'!$K$9*0.21</f>
        <v>3476946.207</v>
      </c>
      <c r="C31" s="99">
        <f>'MONTHLY STATS'!$K$22*0.21</f>
        <v>1593712.0688999998</v>
      </c>
      <c r="D31" s="99">
        <f>'MONTHLY STATS'!$K$35*0.21</f>
        <v>670024.3809</v>
      </c>
      <c r="E31" s="99">
        <f>'MONTHLY STATS'!$K$48*0.21</f>
        <v>5300393.3493</v>
      </c>
      <c r="F31" s="99">
        <f>'MONTHLY STATS'!$K$61*0.21</f>
        <v>3641194.2839999995</v>
      </c>
      <c r="G31" s="99">
        <f>'MONTHLY STATS'!$K$74*0.21</f>
        <v>1491663.5097</v>
      </c>
      <c r="H31" s="99">
        <f>'MONTHLY STATS'!$K$87*0.21</f>
        <v>3142855.8356999997</v>
      </c>
      <c r="I31" s="99">
        <f>'MONTHLY STATS'!$K$100*0.21</f>
        <v>4732208.9492999995</v>
      </c>
      <c r="J31" s="99">
        <f>'MONTHLY STATS'!$K$113*0.21</f>
        <v>3138214.0355999996</v>
      </c>
      <c r="K31" s="99">
        <f>'MONTHLY STATS'!$K$139*0.21</f>
        <v>700100.1756</v>
      </c>
      <c r="L31" s="99">
        <f>'MONTHLY STATS'!$K$152*0.21</f>
        <v>5292378.7014</v>
      </c>
      <c r="M31" s="99">
        <f>'MONTHLY STATS'!$K$165*0.21</f>
        <v>745950.5508</v>
      </c>
      <c r="N31" s="100">
        <f aca="true" t="shared" si="2" ref="N31:N36">SUM(B31:M31)</f>
        <v>33925642.0482</v>
      </c>
      <c r="O31" s="92"/>
    </row>
    <row r="32" spans="1:15" ht="15.75">
      <c r="A32" s="98">
        <f>DATE(2010,8,1)</f>
        <v>40391</v>
      </c>
      <c r="B32" s="99">
        <f>'MONTHLY STATS'!$K$10*0.21</f>
        <v>3238692.051</v>
      </c>
      <c r="C32" s="99">
        <f>'MONTHLY STATS'!$K$23*0.21</f>
        <v>1444596.7766999998</v>
      </c>
      <c r="D32" s="99">
        <f>'MONTHLY STATS'!$K$36*0.21</f>
        <v>594186.495</v>
      </c>
      <c r="E32" s="99">
        <f>'MONTHLY STATS'!$K$49*0.21</f>
        <v>4734853.1139</v>
      </c>
      <c r="F32" s="99">
        <f>'MONTHLY STATS'!$K$62*0.21</f>
        <v>3397918.3370999997</v>
      </c>
      <c r="G32" s="99">
        <f>'MONTHLY STATS'!$K$75*0.21</f>
        <v>1475963.4267</v>
      </c>
      <c r="H32" s="99">
        <f>'MONTHLY STATS'!$K$88*0.21</f>
        <v>3045597.3198</v>
      </c>
      <c r="I32" s="99">
        <f>'MONTHLY STATS'!$K$101*0.21</f>
        <v>4115148.6410999997</v>
      </c>
      <c r="J32" s="99">
        <f>'MONTHLY STATS'!$K$114*0.21</f>
        <v>3116186.5749</v>
      </c>
      <c r="K32" s="99">
        <f>'MONTHLY STATS'!$K$140*0.21</f>
        <v>634204.2167999999</v>
      </c>
      <c r="L32" s="99">
        <f>'MONTHLY STATS'!$K$153*0.21</f>
        <v>4799423.5737</v>
      </c>
      <c r="M32" s="99">
        <f>'MONTHLY STATS'!$K$166*0.21</f>
        <v>680752.401</v>
      </c>
      <c r="N32" s="100">
        <f t="shared" si="2"/>
        <v>31277522.9277</v>
      </c>
      <c r="O32" s="92"/>
    </row>
    <row r="33" spans="1:15" ht="15.75">
      <c r="A33" s="98">
        <f>DATE(2010,9,1)</f>
        <v>40422</v>
      </c>
      <c r="B33" s="99">
        <f>'MONTHLY STATS'!$K$11*0.21</f>
        <v>3272908.6991999997</v>
      </c>
      <c r="C33" s="99">
        <f>'MONTHLY STATS'!$K$24*0.21</f>
        <v>1438915.9911</v>
      </c>
      <c r="D33" s="99">
        <f>'MONTHLY STATS'!$K$37*0.21</f>
        <v>600165.9657</v>
      </c>
      <c r="E33" s="99">
        <f>'MONTHLY STATS'!$K$50*0.21</f>
        <v>4719093.7310999995</v>
      </c>
      <c r="F33" s="99">
        <f>'MONTHLY STATS'!$K$63*0.21</f>
        <v>3274901.8280999996</v>
      </c>
      <c r="G33" s="99">
        <f>'MONTHLY STATS'!$K$76*0.21</f>
        <v>1415766.0174</v>
      </c>
      <c r="H33" s="99">
        <f>'MONTHLY STATS'!$K$89*0.21</f>
        <v>2816912.4941999996</v>
      </c>
      <c r="I33" s="99">
        <f>'MONTHLY STATS'!$K$102*0.21</f>
        <v>4028355.0908999997</v>
      </c>
      <c r="J33" s="99">
        <f>'MONTHLY STATS'!$K$115*0.21</f>
        <v>2991509.4279</v>
      </c>
      <c r="K33" s="99">
        <f>'MONTHLY STATS'!$K$141*0.21</f>
        <v>657618.2361</v>
      </c>
      <c r="L33" s="99">
        <f>'MONTHLY STATS'!$K$154*0.21</f>
        <v>4532556.3234</v>
      </c>
      <c r="M33" s="99">
        <f>'MONTHLY STATS'!$K$167*0.21</f>
        <v>679448.4585</v>
      </c>
      <c r="N33" s="100">
        <f t="shared" si="2"/>
        <v>30428152.263600003</v>
      </c>
      <c r="O33" s="92"/>
    </row>
    <row r="34" spans="1:15" ht="15.75">
      <c r="A34" s="98">
        <f>DATE(2010,10,1)</f>
        <v>40452</v>
      </c>
      <c r="B34" s="99">
        <f>'MONTHLY STATS'!$K$12*0.21</f>
        <v>3397096.0884</v>
      </c>
      <c r="C34" s="99">
        <f>'MONTHLY STATS'!$K$25*0.21</f>
        <v>1539340.2507</v>
      </c>
      <c r="D34" s="99">
        <f>'MONTHLY STATS'!$K$38*0.21</f>
        <v>608813.5473</v>
      </c>
      <c r="E34" s="99">
        <f>'MONTHLY STATS'!$K$51*0.21</f>
        <v>4745780.6718</v>
      </c>
      <c r="F34" s="99">
        <f>'MONTHLY STATS'!$K$64*0.21</f>
        <v>3514563.57</v>
      </c>
      <c r="G34" s="99">
        <f>'MONTHLY STATS'!$K$77*0.21</f>
        <v>1462618.6848</v>
      </c>
      <c r="H34" s="99">
        <f>'MONTHLY STATS'!$K$90*0.21</f>
        <v>3095114.8221</v>
      </c>
      <c r="I34" s="99">
        <f>'MONTHLY STATS'!$K$103*0.21</f>
        <v>4177322.7363</v>
      </c>
      <c r="J34" s="99">
        <f>'MONTHLY STATS'!$K$116*0.21</f>
        <v>3021521.6619</v>
      </c>
      <c r="K34" s="99">
        <f>'MONTHLY STATS'!$K$142*0.21</f>
        <v>678629.3030999999</v>
      </c>
      <c r="L34" s="99">
        <f>'MONTHLY STATS'!$K$155*0.21</f>
        <v>4928470.4112</v>
      </c>
      <c r="M34" s="99">
        <f>'MONTHLY STATS'!$K$168*0.21</f>
        <v>706134.5780999999</v>
      </c>
      <c r="N34" s="100">
        <f t="shared" si="2"/>
        <v>31875406.325699996</v>
      </c>
      <c r="O34" s="92"/>
    </row>
    <row r="35" spans="1:15" ht="15.75">
      <c r="A35" s="98">
        <f>DATE(2010,11,1)</f>
        <v>40483</v>
      </c>
      <c r="B35" s="99">
        <f>'MONTHLY STATS'!$K$13*0.21</f>
        <v>3176104.2516</v>
      </c>
      <c r="C35" s="99">
        <f>'MONTHLY STATS'!$K$26*0.21</f>
        <v>1383486.9866999998</v>
      </c>
      <c r="D35" s="99">
        <f>'MONTHLY STATS'!$K$39*0.21</f>
        <v>548002.5117</v>
      </c>
      <c r="E35" s="99">
        <f>'MONTHLY STATS'!$K$52*0.21</f>
        <v>4318512.8658</v>
      </c>
      <c r="F35" s="99">
        <f>'MONTHLY STATS'!$K$65*0.21</f>
        <v>3299377.6199999996</v>
      </c>
      <c r="G35" s="99">
        <f>'MONTHLY STATS'!$K$78*0.21</f>
        <v>1331552.0442</v>
      </c>
      <c r="H35" s="99">
        <f>'MONTHLY STATS'!$K$91*0.21</f>
        <v>2686499.0271</v>
      </c>
      <c r="I35" s="99">
        <f>'MONTHLY STATS'!$K$104*0.21</f>
        <v>3946302.2591999997</v>
      </c>
      <c r="J35" s="99">
        <f>'MONTHLY STATS'!$K$117*0.21</f>
        <v>2836507.3926</v>
      </c>
      <c r="K35" s="99">
        <f>'MONTHLY STATS'!$K$143*0.21</f>
        <v>622573.5495</v>
      </c>
      <c r="L35" s="99">
        <f>'MONTHLY STATS'!$K$156*0.21</f>
        <v>4668723.8157</v>
      </c>
      <c r="M35" s="99">
        <f>'MONTHLY STATS'!$K$169*0.21</f>
        <v>658416.9395999999</v>
      </c>
      <c r="N35" s="100">
        <f t="shared" si="2"/>
        <v>29476059.263699993</v>
      </c>
      <c r="O35" s="92"/>
    </row>
    <row r="36" spans="1:15" ht="15.75">
      <c r="A36" s="98">
        <f>DATE(2010,12,1)</f>
        <v>40513</v>
      </c>
      <c r="B36" s="99">
        <f>'MONTHLY STATS'!$K$14*0.21</f>
        <v>3435792.8493</v>
      </c>
      <c r="C36" s="99">
        <f>'MONTHLY STATS'!$K$27*0.21</f>
        <v>1291376.8329</v>
      </c>
      <c r="D36" s="99">
        <f>'MONTHLY STATS'!$K$40*0.21</f>
        <v>556595.9406</v>
      </c>
      <c r="E36" s="99">
        <f>'MONTHLY STATS'!$K$53*0.21</f>
        <v>4430879.2605</v>
      </c>
      <c r="F36" s="99">
        <f>'MONTHLY STATS'!$K$66*0.21</f>
        <v>3302650.5015</v>
      </c>
      <c r="G36" s="99">
        <f>'MONTHLY STATS'!$K$79*0.21</f>
        <v>1425764.8229999999</v>
      </c>
      <c r="H36" s="99">
        <f>'MONTHLY STATS'!$K$92*0.21</f>
        <v>2876267.2533</v>
      </c>
      <c r="I36" s="99">
        <f>'MONTHLY STATS'!$K$105*0.21</f>
        <v>4396338.8784</v>
      </c>
      <c r="J36" s="99">
        <f>'MONTHLY STATS'!$K$118*0.21</f>
        <v>2880324.3587999996</v>
      </c>
      <c r="K36" s="99">
        <f>'MONTHLY STATS'!$K$144*0.21</f>
        <v>658609.8225</v>
      </c>
      <c r="L36" s="99">
        <f>'MONTHLY STATS'!$K$157*0.21</f>
        <v>4905334.1799</v>
      </c>
      <c r="M36" s="99">
        <f>'MONTHLY STATS'!$K$170*0.21</f>
        <v>724367.9099999999</v>
      </c>
      <c r="N36" s="100">
        <f t="shared" si="2"/>
        <v>30884302.6107</v>
      </c>
      <c r="O36" s="92"/>
    </row>
    <row r="37" spans="1:15" ht="15.75">
      <c r="A37" s="98">
        <f>DATE(2011,1,1)</f>
        <v>40544</v>
      </c>
      <c r="B37" s="99">
        <f>'MONTHLY STATS'!$K$15*0.21</f>
        <v>3096541.2051</v>
      </c>
      <c r="C37" s="99">
        <f>'MONTHLY STATS'!$K$28*0.21</f>
        <v>1278044.7057</v>
      </c>
      <c r="D37" s="99">
        <f>'MONTHLY STATS'!$K$41*0.21</f>
        <v>545504.7213</v>
      </c>
      <c r="E37" s="99">
        <f>'MONTHLY STATS'!$K$54*0.21</f>
        <v>4301033.986199999</v>
      </c>
      <c r="F37" s="99">
        <f>'MONTHLY STATS'!$K$67*0.21</f>
        <v>3156416.5121999998</v>
      </c>
      <c r="G37" s="99">
        <f>'MONTHLY STATS'!$K$80*0.21</f>
        <v>1287267.4731</v>
      </c>
      <c r="H37" s="99">
        <f>'MONTHLY STATS'!$K$93*0.21</f>
        <v>2942478.8547</v>
      </c>
      <c r="I37" s="99">
        <f>'MONTHLY STATS'!$K$106*0.21</f>
        <v>3970974.567</v>
      </c>
      <c r="J37" s="99">
        <f>'MONTHLY STATS'!$K$119*0.21</f>
        <v>3031256.2476</v>
      </c>
      <c r="K37" s="99">
        <f>'MONTHLY STATS'!$K$145*0.21</f>
        <v>613666.8825</v>
      </c>
      <c r="L37" s="99">
        <f>'MONTHLY STATS'!$K$158*0.21</f>
        <v>4676066.0961</v>
      </c>
      <c r="M37" s="99">
        <f>'MONTHLY STATS'!$K$171*0.21</f>
        <v>640520.4770999999</v>
      </c>
      <c r="N37" s="100">
        <f>SUM(B37:M37)</f>
        <v>29539771.728599995</v>
      </c>
      <c r="O37" s="92"/>
    </row>
    <row r="38" spans="1:15" ht="15.75">
      <c r="A38" s="98">
        <f>DATE(2011,2,1)</f>
        <v>40575</v>
      </c>
      <c r="B38" s="99">
        <f>'MONTHLY STATS'!$K$16*0.21</f>
        <v>3348168.2051999997</v>
      </c>
      <c r="C38" s="99">
        <f>'MONTHLY STATS'!$K$29*0.21</f>
        <v>1393718.8923</v>
      </c>
      <c r="D38" s="99">
        <f>'MONTHLY STATS'!$K$42*0.21</f>
        <v>662745.1341</v>
      </c>
      <c r="E38" s="99">
        <f>'MONTHLY STATS'!$K$55*0.21</f>
        <v>4507430.272799999</v>
      </c>
      <c r="F38" s="99">
        <f>'MONTHLY STATS'!$K$68*0.21</f>
        <v>3135018.2661</v>
      </c>
      <c r="G38" s="99">
        <f>'MONTHLY STATS'!$K$81*0.21</f>
        <v>1529138.5640999998</v>
      </c>
      <c r="H38" s="99">
        <f>'MONTHLY STATS'!$K$94*0.21</f>
        <v>3281672.9211</v>
      </c>
      <c r="I38" s="99">
        <f>'MONTHLY STATS'!$K$107*0.21</f>
        <v>4091998.5645</v>
      </c>
      <c r="J38" s="99">
        <f>'MONTHLY STATS'!$K$120*0.21</f>
        <v>3096841.272</v>
      </c>
      <c r="K38" s="99">
        <f>'MONTHLY STATS'!$K$146*0.21</f>
        <v>659533.8561</v>
      </c>
      <c r="L38" s="99">
        <f>'MONTHLY STATS'!$K$159*0.21</f>
        <v>4851562.9785</v>
      </c>
      <c r="M38" s="99">
        <f>'MONTHLY STATS'!$K$172*0.21</f>
        <v>718676.7441</v>
      </c>
      <c r="N38" s="100">
        <f>SUM(B38:M38)</f>
        <v>31276505.670900002</v>
      </c>
      <c r="O38" s="92"/>
    </row>
    <row r="39" spans="1:15" ht="15.75">
      <c r="A39" s="98">
        <f>DATE(2011,3,1)</f>
        <v>40603</v>
      </c>
      <c r="B39" s="99">
        <f>'MONTHLY STATS'!$K$17*0.21</f>
        <v>3710633.7660000003</v>
      </c>
      <c r="C39" s="99">
        <f>'MONTHLY STATS'!$K$30*0.21</f>
        <v>1537388.0214</v>
      </c>
      <c r="D39" s="99">
        <f>'MONTHLY STATS'!$K$43*0.21</f>
        <v>675221.2971</v>
      </c>
      <c r="E39" s="99">
        <f>'MONTHLY STATS'!$K$56*0.21</f>
        <v>4897710.0711</v>
      </c>
      <c r="F39" s="99">
        <f>'MONTHLY STATS'!$K$69*0.21</f>
        <v>3622173.0006</v>
      </c>
      <c r="G39" s="99">
        <f>'MONTHLY STATS'!$K$82*0.21</f>
        <v>1662924.0851999999</v>
      </c>
      <c r="H39" s="99">
        <f>'MONTHLY STATS'!$K$95*0.21</f>
        <v>3312788.514</v>
      </c>
      <c r="I39" s="99">
        <f>'MONTHLY STATS'!$K$108*0.21</f>
        <v>4527674.619299999</v>
      </c>
      <c r="J39" s="99">
        <f>'MONTHLY STATS'!$K$121*0.21</f>
        <v>3597005.853</v>
      </c>
      <c r="K39" s="99">
        <f>'MONTHLY STATS'!$K$147*0.21</f>
        <v>762238.7997</v>
      </c>
      <c r="L39" s="99">
        <f>'MONTHLY STATS'!$K$160*0.21</f>
        <v>5209308.8187</v>
      </c>
      <c r="M39" s="99">
        <f>'MONTHLY STATS'!$K$173*0.21</f>
        <v>792389.01</v>
      </c>
      <c r="N39" s="100">
        <f>SUM(B39:M39)</f>
        <v>34307455.8561</v>
      </c>
      <c r="O39" s="92"/>
    </row>
    <row r="40" spans="1:15" ht="15.75">
      <c r="A40" s="98">
        <f>DATE(2011,4,1)</f>
        <v>40634</v>
      </c>
      <c r="B40" s="99">
        <f>'MONTHLY STATS'!$K$18*0.21</f>
        <v>3657940.0914</v>
      </c>
      <c r="C40" s="99">
        <f>'MONTHLY STATS'!$K$31*0.21</f>
        <v>1487640.3695999999</v>
      </c>
      <c r="D40" s="99">
        <f>'MONTHLY STATS'!$K$44*0.21</f>
        <v>591558.3365999999</v>
      </c>
      <c r="E40" s="99">
        <f>'MONTHLY STATS'!$K$57*0.21</f>
        <v>5057023.6164</v>
      </c>
      <c r="F40" s="99">
        <f>'MONTHLY STATS'!$K$70*0.21</f>
        <v>3649268.3136</v>
      </c>
      <c r="G40" s="99">
        <f>'MONTHLY STATS'!$K$83*0.21</f>
        <v>1551328.4534999998</v>
      </c>
      <c r="H40" s="99">
        <f>'MONTHLY STATS'!$K$96*0.21</f>
        <v>3154917.3474</v>
      </c>
      <c r="I40" s="99">
        <f>'MONTHLY STATS'!$K$109*0.21</f>
        <v>4328997.5652</v>
      </c>
      <c r="J40" s="99">
        <f>'MONTHLY STATS'!$K$122*0.21</f>
        <v>3418827.3336</v>
      </c>
      <c r="K40" s="99">
        <f>'MONTHLY STATS'!$K$148*0.21</f>
        <v>700374.2844</v>
      </c>
      <c r="L40" s="99">
        <f>'MONTHLY STATS'!$K$161*0.21</f>
        <v>5058921.7791</v>
      </c>
      <c r="M40" s="99">
        <f>'MONTHLY STATS'!$K$174*0.21</f>
        <v>751501.3149</v>
      </c>
      <c r="N40" s="100">
        <f>SUM(B40:M40)</f>
        <v>33408298.8057</v>
      </c>
      <c r="O40" s="92"/>
    </row>
    <row r="41" spans="1:15" ht="15.7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92"/>
    </row>
    <row r="42" spans="1:15" ht="15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2"/>
    </row>
    <row r="43" spans="1:15" ht="15.7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92"/>
    </row>
    <row r="44" spans="1:15" ht="15.75">
      <c r="A44" s="101" t="s">
        <v>31</v>
      </c>
      <c r="B44" s="100">
        <f aca="true" t="shared" si="3" ref="B44:N44">SUM(B31:B42)</f>
        <v>33810823.4142</v>
      </c>
      <c r="C44" s="100">
        <f t="shared" si="3"/>
        <v>14388220.896</v>
      </c>
      <c r="D44" s="100">
        <f t="shared" si="3"/>
        <v>6052818.3303</v>
      </c>
      <c r="E44" s="100">
        <f t="shared" si="3"/>
        <v>47012710.938899994</v>
      </c>
      <c r="F44" s="100">
        <f t="shared" si="3"/>
        <v>33993482.2332</v>
      </c>
      <c r="G44" s="100">
        <f t="shared" si="3"/>
        <v>14633987.0817</v>
      </c>
      <c r="H44" s="100">
        <f>SUM(H31:H42)</f>
        <v>30355104.389399994</v>
      </c>
      <c r="I44" s="100">
        <f t="shared" si="3"/>
        <v>42315321.871199995</v>
      </c>
      <c r="J44" s="100">
        <f>SUM(J31:J42)</f>
        <v>31128194.1579</v>
      </c>
      <c r="K44" s="100">
        <f t="shared" si="3"/>
        <v>6687549.1263</v>
      </c>
      <c r="L44" s="100">
        <f t="shared" si="3"/>
        <v>48922746.677700005</v>
      </c>
      <c r="M44" s="100">
        <f t="shared" si="3"/>
        <v>7098158.3840999985</v>
      </c>
      <c r="N44" s="100">
        <f t="shared" si="3"/>
        <v>316399117.50090003</v>
      </c>
      <c r="O44" s="92"/>
    </row>
    <row r="45" spans="1:15" ht="16.5" thickBot="1">
      <c r="A45" s="102"/>
      <c r="B45" s="100"/>
      <c r="C45" s="100"/>
      <c r="D45" s="100"/>
      <c r="E45" s="99"/>
      <c r="F45" s="99"/>
      <c r="G45" s="99"/>
      <c r="H45" s="99"/>
      <c r="I45" s="100"/>
      <c r="J45" s="100"/>
      <c r="K45" s="100"/>
      <c r="L45" s="100"/>
      <c r="M45" s="100"/>
      <c r="N45" s="100"/>
      <c r="O45" s="92"/>
    </row>
    <row r="46" spans="1:14" ht="15.75" thickTop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</row>
    <row r="47" spans="1:8" ht="15.75">
      <c r="A47" s="125" t="s">
        <v>33</v>
      </c>
      <c r="B47" s="108"/>
      <c r="C47" s="108"/>
      <c r="D47" s="108"/>
      <c r="E47" s="108"/>
      <c r="F47" s="108"/>
      <c r="G47" s="108"/>
      <c r="H47" s="108"/>
    </row>
    <row r="48" spans="1:8" ht="15.75">
      <c r="A48" s="125"/>
      <c r="B48" s="108"/>
      <c r="C48" s="108"/>
      <c r="D48" s="108"/>
      <c r="E48" s="108"/>
      <c r="F48" s="108"/>
      <c r="G48" s="108"/>
      <c r="H48" s="108"/>
    </row>
    <row r="49" ht="15.75">
      <c r="A49" s="81"/>
    </row>
  </sheetData>
  <printOptions horizontalCentered="1"/>
  <pageMargins left="0.4" right="0.3" top="0.319444444444444" bottom="0.25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showOutlineSymbols="0" zoomScale="87" zoomScaleNormal="87" workbookViewId="0" topLeftCell="A1">
      <selection activeCell="A3" sqref="A3"/>
    </sheetView>
  </sheetViews>
  <sheetFormatPr defaultColWidth="8.88671875" defaultRowHeight="15"/>
  <cols>
    <col min="1" max="1" width="27.6640625" style="128" customWidth="1"/>
    <col min="2" max="2" width="9.6640625" style="128" customWidth="1"/>
    <col min="3" max="3" width="16.6640625" style="234" customWidth="1"/>
    <col min="4" max="5" width="15.6640625" style="234" customWidth="1"/>
    <col min="6" max="6" width="9.6640625" style="128" customWidth="1"/>
    <col min="7" max="7" width="10.5546875" style="246" customWidth="1"/>
    <col min="8" max="16384" width="9.6640625" style="128" customWidth="1"/>
  </cols>
  <sheetData>
    <row r="1" spans="1:7" ht="18">
      <c r="A1" s="126" t="s">
        <v>0</v>
      </c>
      <c r="B1" s="127"/>
      <c r="C1" s="223"/>
      <c r="D1" s="223"/>
      <c r="E1" s="223"/>
      <c r="F1" s="127"/>
      <c r="G1" s="235"/>
    </row>
    <row r="2" spans="1:7" ht="18" customHeight="1">
      <c r="A2" s="129" t="s">
        <v>34</v>
      </c>
      <c r="B2" s="127"/>
      <c r="C2" s="223"/>
      <c r="D2" s="223"/>
      <c r="E2" s="223"/>
      <c r="F2" s="127"/>
      <c r="G2" s="235"/>
    </row>
    <row r="3" spans="1:7" ht="18" customHeight="1">
      <c r="A3" s="126" t="s">
        <v>74</v>
      </c>
      <c r="B3" s="127"/>
      <c r="C3" s="223"/>
      <c r="D3" s="223"/>
      <c r="E3" s="223"/>
      <c r="F3" s="127"/>
      <c r="G3" s="235"/>
    </row>
    <row r="4" spans="1:7" ht="15">
      <c r="A4" s="130" t="s">
        <v>75</v>
      </c>
      <c r="B4" s="127"/>
      <c r="C4" s="223"/>
      <c r="D4" s="223"/>
      <c r="E4" s="223"/>
      <c r="F4" s="127"/>
      <c r="G4" s="235"/>
    </row>
    <row r="5" spans="1:7" ht="15.75">
      <c r="A5" s="127"/>
      <c r="B5" s="127"/>
      <c r="C5" s="223"/>
      <c r="D5" s="223"/>
      <c r="E5" s="223"/>
      <c r="F5" s="127"/>
      <c r="G5" s="236" t="s">
        <v>1</v>
      </c>
    </row>
    <row r="6" spans="1:8" ht="16.5" thickTop="1">
      <c r="A6" s="131"/>
      <c r="B6" s="132" t="s">
        <v>2</v>
      </c>
      <c r="C6" s="224" t="s">
        <v>35</v>
      </c>
      <c r="D6" s="224" t="s">
        <v>35</v>
      </c>
      <c r="E6" s="224" t="s">
        <v>3</v>
      </c>
      <c r="F6" s="133"/>
      <c r="G6" s="237" t="s">
        <v>36</v>
      </c>
      <c r="H6" s="134"/>
    </row>
    <row r="7" spans="1:8" ht="16.5" thickBot="1">
      <c r="A7" s="135" t="s">
        <v>5</v>
      </c>
      <c r="B7" s="136" t="s">
        <v>6</v>
      </c>
      <c r="C7" s="291" t="s">
        <v>37</v>
      </c>
      <c r="D7" s="225" t="s">
        <v>38</v>
      </c>
      <c r="E7" s="225" t="s">
        <v>38</v>
      </c>
      <c r="F7" s="137" t="s">
        <v>8</v>
      </c>
      <c r="G7" s="238" t="s">
        <v>39</v>
      </c>
      <c r="H7" s="134"/>
    </row>
    <row r="8" spans="1:8" ht="16.5" thickTop="1">
      <c r="A8" s="138"/>
      <c r="B8" s="139"/>
      <c r="C8" s="226"/>
      <c r="D8" s="226"/>
      <c r="E8" s="226"/>
      <c r="F8" s="140"/>
      <c r="G8" s="239"/>
      <c r="H8" s="134"/>
    </row>
    <row r="9" spans="1:8" ht="15.75">
      <c r="A9" s="141" t="s">
        <v>40</v>
      </c>
      <c r="B9" s="142">
        <f>DATE(2010,7,1)</f>
        <v>40360</v>
      </c>
      <c r="C9" s="227">
        <v>7706203.5</v>
      </c>
      <c r="D9" s="227">
        <v>1350919.59</v>
      </c>
      <c r="E9" s="227">
        <v>1773398.36</v>
      </c>
      <c r="F9" s="143">
        <f aca="true" t="shared" si="0" ref="F9:F18">(+D9-E9)/E9</f>
        <v>-0.23823117215468723</v>
      </c>
      <c r="G9" s="240">
        <f aca="true" t="shared" si="1" ref="G9:G18">D9/C9</f>
        <v>0.17530286995405717</v>
      </c>
      <c r="H9" s="134"/>
    </row>
    <row r="10" spans="1:8" ht="15.75">
      <c r="A10" s="141"/>
      <c r="B10" s="142">
        <f>DATE(2010,8,1)</f>
        <v>40391</v>
      </c>
      <c r="C10" s="227">
        <v>7596391</v>
      </c>
      <c r="D10" s="227">
        <v>1173990.59</v>
      </c>
      <c r="E10" s="227">
        <v>1553280.96</v>
      </c>
      <c r="F10" s="143">
        <f t="shared" si="0"/>
        <v>-0.24418658296049667</v>
      </c>
      <c r="G10" s="240">
        <f t="shared" si="1"/>
        <v>0.1545458349892732</v>
      </c>
      <c r="H10" s="134"/>
    </row>
    <row r="11" spans="1:8" ht="15.75">
      <c r="A11" s="141"/>
      <c r="B11" s="142">
        <f>DATE(2010,9,1)</f>
        <v>40422</v>
      </c>
      <c r="C11" s="227">
        <v>7900067</v>
      </c>
      <c r="D11" s="227">
        <v>1462339.82</v>
      </c>
      <c r="E11" s="227">
        <v>1514959.25</v>
      </c>
      <c r="F11" s="143">
        <f t="shared" si="0"/>
        <v>-0.03473323127338239</v>
      </c>
      <c r="G11" s="240">
        <f t="shared" si="1"/>
        <v>0.18510473645350098</v>
      </c>
      <c r="H11" s="134"/>
    </row>
    <row r="12" spans="1:8" ht="15.75">
      <c r="A12" s="141"/>
      <c r="B12" s="142">
        <f>DATE(2010,10,1)</f>
        <v>40452</v>
      </c>
      <c r="C12" s="227">
        <v>7749785.5</v>
      </c>
      <c r="D12" s="227">
        <v>1677279.8</v>
      </c>
      <c r="E12" s="227">
        <v>1559476.27</v>
      </c>
      <c r="F12" s="143">
        <f t="shared" si="0"/>
        <v>0.07554044410050563</v>
      </c>
      <c r="G12" s="240">
        <f t="shared" si="1"/>
        <v>0.21642919020145784</v>
      </c>
      <c r="H12" s="134"/>
    </row>
    <row r="13" spans="1:8" ht="15.75">
      <c r="A13" s="141"/>
      <c r="B13" s="142">
        <f>DATE(2010,11,1)</f>
        <v>40483</v>
      </c>
      <c r="C13" s="227">
        <v>7401110</v>
      </c>
      <c r="D13" s="227">
        <v>1594646.4</v>
      </c>
      <c r="E13" s="227">
        <v>1692468.72</v>
      </c>
      <c r="F13" s="143">
        <f t="shared" si="0"/>
        <v>-0.05779859848753959</v>
      </c>
      <c r="G13" s="240">
        <f t="shared" si="1"/>
        <v>0.21546043769110307</v>
      </c>
      <c r="H13" s="134"/>
    </row>
    <row r="14" spans="1:8" ht="15.75">
      <c r="A14" s="141"/>
      <c r="B14" s="142">
        <f>DATE(2010,12,1)</f>
        <v>40513</v>
      </c>
      <c r="C14" s="227">
        <v>8143636</v>
      </c>
      <c r="D14" s="227">
        <v>1538987.36</v>
      </c>
      <c r="E14" s="227">
        <v>1576705.87</v>
      </c>
      <c r="F14" s="143">
        <f t="shared" si="0"/>
        <v>-0.023922350209808</v>
      </c>
      <c r="G14" s="240">
        <f t="shared" si="1"/>
        <v>0.18898037191249709</v>
      </c>
      <c r="H14" s="134"/>
    </row>
    <row r="15" spans="1:8" ht="15.75">
      <c r="A15" s="141"/>
      <c r="B15" s="142">
        <f>DATE(2011,1,1)</f>
        <v>40544</v>
      </c>
      <c r="C15" s="227">
        <v>7452134</v>
      </c>
      <c r="D15" s="227">
        <v>1531811.25</v>
      </c>
      <c r="E15" s="227">
        <v>1589310.81</v>
      </c>
      <c r="F15" s="143">
        <f t="shared" si="0"/>
        <v>-0.036178927141381524</v>
      </c>
      <c r="G15" s="240">
        <f t="shared" si="1"/>
        <v>0.20555336900812574</v>
      </c>
      <c r="H15" s="134"/>
    </row>
    <row r="16" spans="1:8" ht="15.75">
      <c r="A16" s="141"/>
      <c r="B16" s="142">
        <f>DATE(2011,2,1)</f>
        <v>40575</v>
      </c>
      <c r="C16" s="227">
        <v>7318485</v>
      </c>
      <c r="D16" s="227">
        <v>1376966.96</v>
      </c>
      <c r="E16" s="227">
        <v>1483840.63</v>
      </c>
      <c r="F16" s="143">
        <f t="shared" si="0"/>
        <v>-0.07202503276918623</v>
      </c>
      <c r="G16" s="240">
        <f t="shared" si="1"/>
        <v>0.18814918114883067</v>
      </c>
      <c r="H16" s="134"/>
    </row>
    <row r="17" spans="1:8" ht="15.75">
      <c r="A17" s="141"/>
      <c r="B17" s="142">
        <f>DATE(2011,3,1)</f>
        <v>40603</v>
      </c>
      <c r="C17" s="227">
        <v>8922548</v>
      </c>
      <c r="D17" s="227">
        <v>1528379.53</v>
      </c>
      <c r="E17" s="227">
        <v>1786775.57</v>
      </c>
      <c r="F17" s="143">
        <f t="shared" si="0"/>
        <v>-0.1446158344329725</v>
      </c>
      <c r="G17" s="240">
        <f t="shared" si="1"/>
        <v>0.1712940664482836</v>
      </c>
      <c r="H17" s="134"/>
    </row>
    <row r="18" spans="1:8" ht="15.75">
      <c r="A18" s="141"/>
      <c r="B18" s="142">
        <f>DATE(2011,4,1)</f>
        <v>40634</v>
      </c>
      <c r="C18" s="227">
        <v>8207292</v>
      </c>
      <c r="D18" s="227">
        <v>1743380.99</v>
      </c>
      <c r="E18" s="227">
        <v>1518026.64</v>
      </c>
      <c r="F18" s="143">
        <f t="shared" si="0"/>
        <v>0.14845217077349848</v>
      </c>
      <c r="G18" s="240">
        <f t="shared" si="1"/>
        <v>0.21241854073182725</v>
      </c>
      <c r="H18" s="134"/>
    </row>
    <row r="19" spans="1:8" ht="15.75" thickBot="1">
      <c r="A19" s="144"/>
      <c r="B19" s="145"/>
      <c r="C19" s="227"/>
      <c r="D19" s="227"/>
      <c r="E19" s="227"/>
      <c r="F19" s="143"/>
      <c r="G19" s="240"/>
      <c r="H19" s="134"/>
    </row>
    <row r="20" spans="1:8" ht="17.25" thickBot="1" thickTop="1">
      <c r="A20" s="146" t="s">
        <v>14</v>
      </c>
      <c r="B20" s="147"/>
      <c r="C20" s="224">
        <f>SUM(C9:C19)</f>
        <v>78397652</v>
      </c>
      <c r="D20" s="224">
        <f>SUM(D9:D19)</f>
        <v>14978702.29</v>
      </c>
      <c r="E20" s="224">
        <f>SUM(E9:E19)</f>
        <v>16048243.080000002</v>
      </c>
      <c r="F20" s="148">
        <f>(+D20-E20)/E20</f>
        <v>-0.06664535081306873</v>
      </c>
      <c r="G20" s="237">
        <f>D20/C20</f>
        <v>0.19106059821791602</v>
      </c>
      <c r="H20" s="134"/>
    </row>
    <row r="21" spans="1:8" ht="16.5" thickTop="1">
      <c r="A21" s="149"/>
      <c r="B21" s="150"/>
      <c r="C21" s="228"/>
      <c r="D21" s="228"/>
      <c r="E21" s="228"/>
      <c r="F21" s="151"/>
      <c r="G21" s="241"/>
      <c r="H21" s="134"/>
    </row>
    <row r="22" spans="1:8" ht="15.75">
      <c r="A22" s="20" t="s">
        <v>15</v>
      </c>
      <c r="B22" s="142">
        <f>DATE(2010,7,1)</f>
        <v>40360</v>
      </c>
      <c r="C22" s="227">
        <v>2445669</v>
      </c>
      <c r="D22" s="227">
        <v>531577</v>
      </c>
      <c r="E22" s="227">
        <v>546264</v>
      </c>
      <c r="F22" s="143">
        <f aca="true" t="shared" si="2" ref="F22:F31">(+D22-E22)/E22</f>
        <v>-0.026886267445777132</v>
      </c>
      <c r="G22" s="240">
        <f aca="true" t="shared" si="3" ref="G22:G31">D22/C22</f>
        <v>0.21735443349038647</v>
      </c>
      <c r="H22" s="134"/>
    </row>
    <row r="23" spans="1:8" ht="15.75">
      <c r="A23" s="20"/>
      <c r="B23" s="142">
        <f>DATE(2010,8,1)</f>
        <v>40391</v>
      </c>
      <c r="C23" s="227">
        <v>2383868</v>
      </c>
      <c r="D23" s="227">
        <v>521544</v>
      </c>
      <c r="E23" s="227">
        <v>348359</v>
      </c>
      <c r="F23" s="143">
        <f t="shared" si="2"/>
        <v>0.49714518643123906</v>
      </c>
      <c r="G23" s="240">
        <f t="shared" si="3"/>
        <v>0.21878057006512105</v>
      </c>
      <c r="H23" s="134"/>
    </row>
    <row r="24" spans="1:8" ht="15.75">
      <c r="A24" s="20"/>
      <c r="B24" s="142">
        <f>DATE(2010,9,1)</f>
        <v>40422</v>
      </c>
      <c r="C24" s="227">
        <v>2179637.5</v>
      </c>
      <c r="D24" s="227">
        <v>430290</v>
      </c>
      <c r="E24" s="227">
        <v>588835.5</v>
      </c>
      <c r="F24" s="143">
        <f t="shared" si="2"/>
        <v>-0.2692526180911307</v>
      </c>
      <c r="G24" s="240">
        <f t="shared" si="3"/>
        <v>0.1974135607411783</v>
      </c>
      <c r="H24" s="134"/>
    </row>
    <row r="25" spans="1:8" ht="15.75">
      <c r="A25" s="20"/>
      <c r="B25" s="142">
        <f>DATE(2010,10,1)</f>
        <v>40452</v>
      </c>
      <c r="C25" s="227">
        <v>2140962</v>
      </c>
      <c r="D25" s="227">
        <v>463252.5</v>
      </c>
      <c r="E25" s="227">
        <v>587955.5</v>
      </c>
      <c r="F25" s="143">
        <f t="shared" si="2"/>
        <v>-0.21209598345453015</v>
      </c>
      <c r="G25" s="240">
        <f t="shared" si="3"/>
        <v>0.2163758628130719</v>
      </c>
      <c r="H25" s="134"/>
    </row>
    <row r="26" spans="1:8" ht="15.75">
      <c r="A26" s="20"/>
      <c r="B26" s="142">
        <f>DATE(2010,11,1)</f>
        <v>40483</v>
      </c>
      <c r="C26" s="227">
        <v>2079530</v>
      </c>
      <c r="D26" s="227">
        <v>416632.5</v>
      </c>
      <c r="E26" s="227">
        <v>443121</v>
      </c>
      <c r="F26" s="143">
        <f t="shared" si="2"/>
        <v>-0.05977712633795284</v>
      </c>
      <c r="G26" s="240">
        <f t="shared" si="3"/>
        <v>0.200349357787577</v>
      </c>
      <c r="H26" s="134"/>
    </row>
    <row r="27" spans="1:8" ht="15.75">
      <c r="A27" s="20"/>
      <c r="B27" s="142">
        <f>DATE(2010,12,1)</f>
        <v>40513</v>
      </c>
      <c r="C27" s="227">
        <v>2081962</v>
      </c>
      <c r="D27" s="227">
        <v>392035</v>
      </c>
      <c r="E27" s="227">
        <v>472882</v>
      </c>
      <c r="F27" s="143">
        <f t="shared" si="2"/>
        <v>-0.17096654133589353</v>
      </c>
      <c r="G27" s="240">
        <f t="shared" si="3"/>
        <v>0.1883007470837604</v>
      </c>
      <c r="H27" s="134"/>
    </row>
    <row r="28" spans="1:8" ht="15.75">
      <c r="A28" s="20"/>
      <c r="B28" s="142">
        <f>DATE(2011,1,1)</f>
        <v>40544</v>
      </c>
      <c r="C28" s="227">
        <v>2187081</v>
      </c>
      <c r="D28" s="227">
        <v>490341.5</v>
      </c>
      <c r="E28" s="227">
        <v>433594</v>
      </c>
      <c r="F28" s="143">
        <f t="shared" si="2"/>
        <v>0.13087704165648048</v>
      </c>
      <c r="G28" s="240">
        <f t="shared" si="3"/>
        <v>0.224199058013855</v>
      </c>
      <c r="H28" s="134"/>
    </row>
    <row r="29" spans="1:8" ht="15.75">
      <c r="A29" s="20"/>
      <c r="B29" s="142">
        <f>DATE(2011,2,1)</f>
        <v>40575</v>
      </c>
      <c r="C29" s="227">
        <v>2453975</v>
      </c>
      <c r="D29" s="227">
        <v>530478</v>
      </c>
      <c r="E29" s="227">
        <v>512823</v>
      </c>
      <c r="F29" s="143">
        <f t="shared" si="2"/>
        <v>0.03442708302864731</v>
      </c>
      <c r="G29" s="240">
        <f t="shared" si="3"/>
        <v>0.21617090638657688</v>
      </c>
      <c r="H29" s="134"/>
    </row>
    <row r="30" spans="1:8" ht="15.75">
      <c r="A30" s="20"/>
      <c r="B30" s="142">
        <f>DATE(2011,3,1)</f>
        <v>40603</v>
      </c>
      <c r="C30" s="227">
        <v>2500309.5</v>
      </c>
      <c r="D30" s="227">
        <v>525941.5</v>
      </c>
      <c r="E30" s="227">
        <v>528007</v>
      </c>
      <c r="F30" s="143">
        <f t="shared" si="2"/>
        <v>-0.003911879956136945</v>
      </c>
      <c r="G30" s="240">
        <f t="shared" si="3"/>
        <v>0.21035055860084523</v>
      </c>
      <c r="H30" s="134"/>
    </row>
    <row r="31" spans="1:8" ht="15.75">
      <c r="A31" s="20"/>
      <c r="B31" s="142">
        <f>DATE(2011,4,1)</f>
        <v>40634</v>
      </c>
      <c r="C31" s="227">
        <v>2523138</v>
      </c>
      <c r="D31" s="227">
        <v>575227.5</v>
      </c>
      <c r="E31" s="227">
        <v>474243</v>
      </c>
      <c r="F31" s="143">
        <f t="shared" si="2"/>
        <v>0.21293830378097303</v>
      </c>
      <c r="G31" s="240">
        <f t="shared" si="3"/>
        <v>0.2279809903382217</v>
      </c>
      <c r="H31" s="134"/>
    </row>
    <row r="32" spans="1:8" ht="15.75" thickBot="1">
      <c r="A32" s="144"/>
      <c r="B32" s="142"/>
      <c r="C32" s="227"/>
      <c r="D32" s="227"/>
      <c r="E32" s="227"/>
      <c r="F32" s="143"/>
      <c r="G32" s="240"/>
      <c r="H32" s="134"/>
    </row>
    <row r="33" spans="1:8" ht="17.25" thickBot="1" thickTop="1">
      <c r="A33" s="146" t="s">
        <v>14</v>
      </c>
      <c r="B33" s="147"/>
      <c r="C33" s="224">
        <f>SUM(C22:C32)</f>
        <v>22976132</v>
      </c>
      <c r="D33" s="224">
        <f>SUM(D22:D32)</f>
        <v>4877319.5</v>
      </c>
      <c r="E33" s="224">
        <f>SUM(E22:E32)</f>
        <v>4936084</v>
      </c>
      <c r="F33" s="148">
        <f>(+D33-E33)/E33</f>
        <v>-0.011905085083641203</v>
      </c>
      <c r="G33" s="237">
        <f>D33/C33</f>
        <v>0.21227765839785392</v>
      </c>
      <c r="H33" s="134"/>
    </row>
    <row r="34" spans="1:8" ht="16.5" thickTop="1">
      <c r="A34" s="282"/>
      <c r="B34" s="161"/>
      <c r="C34" s="231"/>
      <c r="D34" s="231"/>
      <c r="E34" s="231"/>
      <c r="F34" s="162"/>
      <c r="G34" s="244"/>
      <c r="H34" s="134"/>
    </row>
    <row r="35" spans="1:8" ht="15.75">
      <c r="A35" s="20" t="s">
        <v>60</v>
      </c>
      <c r="B35" s="142">
        <f>DATE(2010,7,1)</f>
        <v>40360</v>
      </c>
      <c r="C35" s="227">
        <v>1300711</v>
      </c>
      <c r="D35" s="227">
        <v>339603</v>
      </c>
      <c r="E35" s="227">
        <v>386297.5</v>
      </c>
      <c r="F35" s="143">
        <f aca="true" t="shared" si="4" ref="F35:F44">(+D35-E35)/E35</f>
        <v>-0.12087704424698581</v>
      </c>
      <c r="G35" s="240">
        <f aca="true" t="shared" si="5" ref="G35:G44">D35/C35</f>
        <v>0.26109028062344364</v>
      </c>
      <c r="H35" s="134"/>
    </row>
    <row r="36" spans="1:8" ht="15.75">
      <c r="A36" s="20"/>
      <c r="B36" s="142">
        <f>DATE(2010,8,1)</f>
        <v>40391</v>
      </c>
      <c r="C36" s="227">
        <v>1237591</v>
      </c>
      <c r="D36" s="227">
        <v>271498</v>
      </c>
      <c r="E36" s="227">
        <v>332874</v>
      </c>
      <c r="F36" s="143">
        <f t="shared" si="4"/>
        <v>-0.18438207850417876</v>
      </c>
      <c r="G36" s="240">
        <f t="shared" si="5"/>
        <v>0.2193761913265368</v>
      </c>
      <c r="H36" s="134"/>
    </row>
    <row r="37" spans="1:8" ht="15.75">
      <c r="A37" s="20"/>
      <c r="B37" s="142">
        <f>DATE(2010,9,1)</f>
        <v>40422</v>
      </c>
      <c r="C37" s="227">
        <v>1212811</v>
      </c>
      <c r="D37" s="227">
        <v>283508.5</v>
      </c>
      <c r="E37" s="227">
        <v>327645</v>
      </c>
      <c r="F37" s="143">
        <f t="shared" si="4"/>
        <v>-0.13470829708983809</v>
      </c>
      <c r="G37" s="240">
        <f t="shared" si="5"/>
        <v>0.23376148468310395</v>
      </c>
      <c r="H37" s="134"/>
    </row>
    <row r="38" spans="1:8" ht="15.75">
      <c r="A38" s="20"/>
      <c r="B38" s="142">
        <f>DATE(2010,10,1)</f>
        <v>40452</v>
      </c>
      <c r="C38" s="227">
        <v>1099663</v>
      </c>
      <c r="D38" s="227">
        <v>315362</v>
      </c>
      <c r="E38" s="227">
        <v>371186.5</v>
      </c>
      <c r="F38" s="143">
        <f t="shared" si="4"/>
        <v>-0.15039474765380745</v>
      </c>
      <c r="G38" s="240">
        <f t="shared" si="5"/>
        <v>0.28678058641602017</v>
      </c>
      <c r="H38" s="134"/>
    </row>
    <row r="39" spans="1:8" ht="15.75">
      <c r="A39" s="20"/>
      <c r="B39" s="142">
        <f>DATE(2010,11,1)</f>
        <v>40483</v>
      </c>
      <c r="C39" s="227">
        <v>1134981</v>
      </c>
      <c r="D39" s="227">
        <v>305797.5</v>
      </c>
      <c r="E39" s="227">
        <v>312251.5</v>
      </c>
      <c r="F39" s="143">
        <f t="shared" si="4"/>
        <v>-0.02066923617660764</v>
      </c>
      <c r="G39" s="240">
        <f t="shared" si="5"/>
        <v>0.2694296204077425</v>
      </c>
      <c r="H39" s="134"/>
    </row>
    <row r="40" spans="1:8" ht="15.75">
      <c r="A40" s="20"/>
      <c r="B40" s="142">
        <f>DATE(2010,12,1)</f>
        <v>40513</v>
      </c>
      <c r="C40" s="227">
        <v>1134941</v>
      </c>
      <c r="D40" s="227">
        <v>372707</v>
      </c>
      <c r="E40" s="227">
        <v>289465.5</v>
      </c>
      <c r="F40" s="143">
        <f t="shared" si="4"/>
        <v>0.2875696758335622</v>
      </c>
      <c r="G40" s="240">
        <f t="shared" si="5"/>
        <v>0.3283932821177489</v>
      </c>
      <c r="H40" s="134"/>
    </row>
    <row r="41" spans="1:8" ht="15.75">
      <c r="A41" s="20"/>
      <c r="B41" s="142">
        <f>DATE(2011,1,1)</f>
        <v>40544</v>
      </c>
      <c r="C41" s="227">
        <v>1152487</v>
      </c>
      <c r="D41" s="227">
        <v>295429</v>
      </c>
      <c r="E41" s="227">
        <v>324443.5</v>
      </c>
      <c r="F41" s="143">
        <f t="shared" si="4"/>
        <v>-0.0894285137473859</v>
      </c>
      <c r="G41" s="240">
        <f t="shared" si="5"/>
        <v>0.2563404185904049</v>
      </c>
      <c r="H41" s="134"/>
    </row>
    <row r="42" spans="1:8" ht="15.75">
      <c r="A42" s="20"/>
      <c r="B42" s="142">
        <f>DATE(2011,2,1)</f>
        <v>40575</v>
      </c>
      <c r="C42" s="227">
        <v>1381050</v>
      </c>
      <c r="D42" s="227">
        <v>338388</v>
      </c>
      <c r="E42" s="227">
        <v>384637</v>
      </c>
      <c r="F42" s="143">
        <f t="shared" si="4"/>
        <v>-0.12024064247589286</v>
      </c>
      <c r="G42" s="240">
        <f t="shared" si="5"/>
        <v>0.24502226566742696</v>
      </c>
      <c r="H42" s="134"/>
    </row>
    <row r="43" spans="1:8" ht="15.75">
      <c r="A43" s="20"/>
      <c r="B43" s="142">
        <f>DATE(2011,3,1)</f>
        <v>40603</v>
      </c>
      <c r="C43" s="227">
        <v>1347292</v>
      </c>
      <c r="D43" s="227">
        <v>415608</v>
      </c>
      <c r="E43" s="227">
        <v>370247.5</v>
      </c>
      <c r="F43" s="143">
        <f t="shared" si="4"/>
        <v>0.12251399401751531</v>
      </c>
      <c r="G43" s="240">
        <f t="shared" si="5"/>
        <v>0.3084765589048254</v>
      </c>
      <c r="H43" s="134"/>
    </row>
    <row r="44" spans="1:8" ht="15.75">
      <c r="A44" s="20"/>
      <c r="B44" s="142">
        <f>DATE(2011,4,1)</f>
        <v>40634</v>
      </c>
      <c r="C44" s="227">
        <v>1089103</v>
      </c>
      <c r="D44" s="227">
        <v>332648</v>
      </c>
      <c r="E44" s="227">
        <v>276666.5</v>
      </c>
      <c r="F44" s="143">
        <f t="shared" si="4"/>
        <v>0.20234289297764638</v>
      </c>
      <c r="G44" s="240">
        <f t="shared" si="5"/>
        <v>0.3054330031227533</v>
      </c>
      <c r="H44" s="134"/>
    </row>
    <row r="45" spans="1:8" ht="15.75" thickBot="1">
      <c r="A45" s="144"/>
      <c r="B45" s="142"/>
      <c r="C45" s="227"/>
      <c r="D45" s="227"/>
      <c r="E45" s="227"/>
      <c r="F45" s="143"/>
      <c r="G45" s="240"/>
      <c r="H45" s="134"/>
    </row>
    <row r="46" spans="1:8" ht="17.25" thickBot="1" thickTop="1">
      <c r="A46" s="152" t="s">
        <v>14</v>
      </c>
      <c r="B46" s="153"/>
      <c r="C46" s="229">
        <f>SUM(C35:C45)</f>
        <v>12090630</v>
      </c>
      <c r="D46" s="229">
        <f>SUM(D35:D45)</f>
        <v>3270549</v>
      </c>
      <c r="E46" s="229">
        <f>SUM(E35:E45)</f>
        <v>3375714.5</v>
      </c>
      <c r="F46" s="154">
        <f>(+D46-E46)/E46</f>
        <v>-0.031153552825631432</v>
      </c>
      <c r="G46" s="242">
        <f>D46/C46</f>
        <v>0.2705027777708854</v>
      </c>
      <c r="H46" s="134"/>
    </row>
    <row r="47" spans="1:8" ht="15.75" thickTop="1">
      <c r="A47" s="155"/>
      <c r="B47" s="156"/>
      <c r="C47" s="230"/>
      <c r="D47" s="230"/>
      <c r="E47" s="230"/>
      <c r="F47" s="157"/>
      <c r="G47" s="243"/>
      <c r="H47" s="134"/>
    </row>
    <row r="48" spans="1:8" ht="15.75">
      <c r="A48" s="158" t="s">
        <v>41</v>
      </c>
      <c r="B48" s="142">
        <f>DATE(2010,7,1)</f>
        <v>40360</v>
      </c>
      <c r="C48" s="227">
        <v>13182168</v>
      </c>
      <c r="D48" s="227">
        <v>3149418.1</v>
      </c>
      <c r="E48" s="227">
        <v>3220117.5</v>
      </c>
      <c r="F48" s="143">
        <f aca="true" t="shared" si="6" ref="F48:F57">(+D48-E48)/E48</f>
        <v>-0.021955534231281906</v>
      </c>
      <c r="G48" s="240">
        <f aca="true" t="shared" si="7" ref="G48:G57">D48/C48</f>
        <v>0.23891503279278492</v>
      </c>
      <c r="H48" s="134"/>
    </row>
    <row r="49" spans="1:8" ht="15.75">
      <c r="A49" s="158"/>
      <c r="B49" s="142">
        <f>DATE(2010,8,1)</f>
        <v>40391</v>
      </c>
      <c r="C49" s="227">
        <v>12194873</v>
      </c>
      <c r="D49" s="227">
        <v>2619140</v>
      </c>
      <c r="E49" s="227">
        <v>3575425</v>
      </c>
      <c r="F49" s="143">
        <f t="shared" si="6"/>
        <v>-0.2674605116874218</v>
      </c>
      <c r="G49" s="240">
        <f t="shared" si="7"/>
        <v>0.21477386439366775</v>
      </c>
      <c r="H49" s="134"/>
    </row>
    <row r="50" spans="1:8" ht="15.75">
      <c r="A50" s="158"/>
      <c r="B50" s="142">
        <f>DATE(2010,9,1)</f>
        <v>40422</v>
      </c>
      <c r="C50" s="227">
        <v>11730750</v>
      </c>
      <c r="D50" s="227">
        <v>2557226.76</v>
      </c>
      <c r="E50" s="227">
        <v>3219918.14</v>
      </c>
      <c r="F50" s="143">
        <f t="shared" si="6"/>
        <v>-0.20581000857369633</v>
      </c>
      <c r="G50" s="240">
        <f t="shared" si="7"/>
        <v>0.21799345821878394</v>
      </c>
      <c r="H50" s="134"/>
    </row>
    <row r="51" spans="1:8" ht="15.75">
      <c r="A51" s="158"/>
      <c r="B51" s="142">
        <f>DATE(2010,10,1)</f>
        <v>40452</v>
      </c>
      <c r="C51" s="227">
        <v>12532532</v>
      </c>
      <c r="D51" s="227">
        <v>2716697</v>
      </c>
      <c r="E51" s="227">
        <v>3089509.34</v>
      </c>
      <c r="F51" s="143">
        <f t="shared" si="6"/>
        <v>-0.12067040392892933</v>
      </c>
      <c r="G51" s="240">
        <f t="shared" si="7"/>
        <v>0.21677159890754719</v>
      </c>
      <c r="H51" s="134"/>
    </row>
    <row r="52" spans="1:8" ht="15.75">
      <c r="A52" s="158"/>
      <c r="B52" s="142">
        <f>DATE(2010,11,1)</f>
        <v>40483</v>
      </c>
      <c r="C52" s="227">
        <v>12612829</v>
      </c>
      <c r="D52" s="227">
        <v>2284676.94</v>
      </c>
      <c r="E52" s="227">
        <v>3093059.86</v>
      </c>
      <c r="F52" s="143">
        <f t="shared" si="6"/>
        <v>-0.2613537909350387</v>
      </c>
      <c r="G52" s="240">
        <f t="shared" si="7"/>
        <v>0.18113913539936202</v>
      </c>
      <c r="H52" s="134"/>
    </row>
    <row r="53" spans="1:8" ht="15.75">
      <c r="A53" s="158"/>
      <c r="B53" s="142">
        <f>DATE(2010,12,1)</f>
        <v>40513</v>
      </c>
      <c r="C53" s="227">
        <v>13405492.25</v>
      </c>
      <c r="D53" s="227">
        <v>3145218.11</v>
      </c>
      <c r="E53" s="227">
        <v>2915775</v>
      </c>
      <c r="F53" s="143">
        <f t="shared" si="6"/>
        <v>0.07869026588128367</v>
      </c>
      <c r="G53" s="240">
        <f t="shared" si="7"/>
        <v>0.23462160518574018</v>
      </c>
      <c r="H53" s="134"/>
    </row>
    <row r="54" spans="1:8" ht="15.75">
      <c r="A54" s="158"/>
      <c r="B54" s="142">
        <f>DATE(2011,1,1)</f>
        <v>40544</v>
      </c>
      <c r="C54" s="227">
        <v>12576885</v>
      </c>
      <c r="D54" s="227">
        <v>3040741</v>
      </c>
      <c r="E54" s="227">
        <v>2449592.7</v>
      </c>
      <c r="F54" s="143">
        <f t="shared" si="6"/>
        <v>0.24132513948135123</v>
      </c>
      <c r="G54" s="240">
        <f t="shared" si="7"/>
        <v>0.24177218762833563</v>
      </c>
      <c r="H54" s="134"/>
    </row>
    <row r="55" spans="1:8" ht="15.75">
      <c r="A55" s="158"/>
      <c r="B55" s="142">
        <f>DATE(2011,2,1)</f>
        <v>40575</v>
      </c>
      <c r="C55" s="227">
        <v>12388219</v>
      </c>
      <c r="D55" s="227">
        <v>2732876.52</v>
      </c>
      <c r="E55" s="227">
        <v>2856222.5</v>
      </c>
      <c r="F55" s="143">
        <f t="shared" si="6"/>
        <v>-0.04318500396940364</v>
      </c>
      <c r="G55" s="240">
        <f t="shared" si="7"/>
        <v>0.220602858247824</v>
      </c>
      <c r="H55" s="134"/>
    </row>
    <row r="56" spans="1:8" ht="15.75">
      <c r="A56" s="158"/>
      <c r="B56" s="142">
        <f>DATE(2011,3,1)</f>
        <v>40603</v>
      </c>
      <c r="C56" s="227">
        <v>13484140</v>
      </c>
      <c r="D56" s="227">
        <v>3024359.96</v>
      </c>
      <c r="E56" s="227">
        <v>2779902.67</v>
      </c>
      <c r="F56" s="143">
        <f t="shared" si="6"/>
        <v>0.08793735573483227</v>
      </c>
      <c r="G56" s="240">
        <f t="shared" si="7"/>
        <v>0.22429016311014272</v>
      </c>
      <c r="H56" s="134"/>
    </row>
    <row r="57" spans="1:8" ht="15.75">
      <c r="A57" s="158"/>
      <c r="B57" s="142">
        <f>DATE(2011,4,1)</f>
        <v>40634</v>
      </c>
      <c r="C57" s="227">
        <v>17732139</v>
      </c>
      <c r="D57" s="227">
        <v>3702782</v>
      </c>
      <c r="E57" s="227">
        <v>3744897.79</v>
      </c>
      <c r="F57" s="143">
        <f t="shared" si="6"/>
        <v>-0.011246178764200674</v>
      </c>
      <c r="G57" s="240">
        <f t="shared" si="7"/>
        <v>0.20881756002476634</v>
      </c>
      <c r="H57" s="134"/>
    </row>
    <row r="58" spans="1:8" ht="15" customHeight="1" thickBot="1">
      <c r="A58" s="144"/>
      <c r="B58" s="145"/>
      <c r="C58" s="227"/>
      <c r="D58" s="227"/>
      <c r="E58" s="227"/>
      <c r="F58" s="143"/>
      <c r="G58" s="240"/>
      <c r="H58" s="134"/>
    </row>
    <row r="59" spans="1:8" ht="15" customHeight="1" thickBot="1" thickTop="1">
      <c r="A59" s="152" t="s">
        <v>14</v>
      </c>
      <c r="B59" s="153"/>
      <c r="C59" s="229">
        <f>SUM(C48:C58)</f>
        <v>131840027.25</v>
      </c>
      <c r="D59" s="229">
        <f>SUM(D48:D58)</f>
        <v>28973136.389999997</v>
      </c>
      <c r="E59" s="229">
        <f>SUM(E48:E58)</f>
        <v>30944420.5</v>
      </c>
      <c r="F59" s="154">
        <f>(+D59-E59)/E59</f>
        <v>-0.06370402412286258</v>
      </c>
      <c r="G59" s="242">
        <f>D59/C59</f>
        <v>0.21975978763308393</v>
      </c>
      <c r="H59" s="134"/>
    </row>
    <row r="60" spans="1:8" ht="15" customHeight="1" thickTop="1">
      <c r="A60" s="155"/>
      <c r="B60" s="156"/>
      <c r="C60" s="230"/>
      <c r="D60" s="230"/>
      <c r="E60" s="230"/>
      <c r="F60" s="157"/>
      <c r="G60" s="243"/>
      <c r="H60" s="134"/>
    </row>
    <row r="61" spans="1:8" ht="15" customHeight="1">
      <c r="A61" s="141" t="s">
        <v>42</v>
      </c>
      <c r="B61" s="142">
        <f>DATE(2010,7,1)</f>
        <v>40360</v>
      </c>
      <c r="C61" s="227">
        <v>10817313.01</v>
      </c>
      <c r="D61" s="227">
        <v>2411904.51</v>
      </c>
      <c r="E61" s="227">
        <v>2085878</v>
      </c>
      <c r="F61" s="143">
        <f aca="true" t="shared" si="8" ref="F61:F70">(+D61-E61)/E61</f>
        <v>0.1563018115153426</v>
      </c>
      <c r="G61" s="240">
        <f aca="true" t="shared" si="9" ref="G61:G70">D61/C61</f>
        <v>0.2229670628713738</v>
      </c>
      <c r="H61" s="134"/>
    </row>
    <row r="62" spans="1:8" ht="15" customHeight="1">
      <c r="A62" s="141"/>
      <c r="B62" s="142">
        <f>DATE(2010,8,1)</f>
        <v>40391</v>
      </c>
      <c r="C62" s="227">
        <v>9917673.5</v>
      </c>
      <c r="D62" s="227">
        <v>2386625</v>
      </c>
      <c r="E62" s="227">
        <v>2431956.51</v>
      </c>
      <c r="F62" s="143">
        <f t="shared" si="8"/>
        <v>-0.018639934478104535</v>
      </c>
      <c r="G62" s="240">
        <f t="shared" si="9"/>
        <v>0.24064363482020254</v>
      </c>
      <c r="H62" s="134"/>
    </row>
    <row r="63" spans="1:8" ht="15" customHeight="1">
      <c r="A63" s="141"/>
      <c r="B63" s="142">
        <f>DATE(2010,9,1)</f>
        <v>40422</v>
      </c>
      <c r="C63" s="227">
        <v>10265732</v>
      </c>
      <c r="D63" s="227">
        <v>2229326</v>
      </c>
      <c r="E63" s="227">
        <v>2224883</v>
      </c>
      <c r="F63" s="143">
        <f t="shared" si="8"/>
        <v>0.00199695894121174</v>
      </c>
      <c r="G63" s="240">
        <f t="shared" si="9"/>
        <v>0.21716191305208435</v>
      </c>
      <c r="H63" s="134"/>
    </row>
    <row r="64" spans="1:8" ht="15" customHeight="1">
      <c r="A64" s="141"/>
      <c r="B64" s="142">
        <f>DATE(2010,10,1)</f>
        <v>40452</v>
      </c>
      <c r="C64" s="227">
        <v>10359910</v>
      </c>
      <c r="D64" s="227">
        <v>2305918</v>
      </c>
      <c r="E64" s="227">
        <v>2419338.75</v>
      </c>
      <c r="F64" s="143">
        <f t="shared" si="8"/>
        <v>-0.04688088842457469</v>
      </c>
      <c r="G64" s="240">
        <f t="shared" si="9"/>
        <v>0.22258089114673776</v>
      </c>
      <c r="H64" s="134"/>
    </row>
    <row r="65" spans="1:8" ht="15" customHeight="1">
      <c r="A65" s="141"/>
      <c r="B65" s="142">
        <f>DATE(2010,11,1)</f>
        <v>40483</v>
      </c>
      <c r="C65" s="227">
        <v>10017230</v>
      </c>
      <c r="D65" s="227">
        <v>2385843.5</v>
      </c>
      <c r="E65" s="227">
        <v>2473651</v>
      </c>
      <c r="F65" s="143">
        <f t="shared" si="8"/>
        <v>-0.03549712550396155</v>
      </c>
      <c r="G65" s="240">
        <f t="shared" si="9"/>
        <v>0.2381739762389403</v>
      </c>
      <c r="H65" s="134"/>
    </row>
    <row r="66" spans="1:8" ht="15" customHeight="1">
      <c r="A66" s="141"/>
      <c r="B66" s="142">
        <f>DATE(2010,12,1)</f>
        <v>40513</v>
      </c>
      <c r="C66" s="227">
        <v>11239302</v>
      </c>
      <c r="D66" s="227">
        <v>2255746.5</v>
      </c>
      <c r="E66" s="227">
        <v>2125446.5</v>
      </c>
      <c r="F66" s="143">
        <f t="shared" si="8"/>
        <v>0.061304765845670545</v>
      </c>
      <c r="G66" s="240">
        <f t="shared" si="9"/>
        <v>0.20070165389274175</v>
      </c>
      <c r="H66" s="134"/>
    </row>
    <row r="67" spans="1:8" ht="15" customHeight="1">
      <c r="A67" s="141"/>
      <c r="B67" s="142">
        <f>DATE(2011,1,1)</f>
        <v>40544</v>
      </c>
      <c r="C67" s="227">
        <v>10709682</v>
      </c>
      <c r="D67" s="227">
        <v>2674662.5</v>
      </c>
      <c r="E67" s="227">
        <v>1552014</v>
      </c>
      <c r="F67" s="143">
        <f t="shared" si="8"/>
        <v>0.7233494672084143</v>
      </c>
      <c r="G67" s="240">
        <f t="shared" si="9"/>
        <v>0.24974247601376026</v>
      </c>
      <c r="H67" s="134"/>
    </row>
    <row r="68" spans="1:8" ht="15" customHeight="1">
      <c r="A68" s="141"/>
      <c r="B68" s="142">
        <f>DATE(2011,2,1)</f>
        <v>40575</v>
      </c>
      <c r="C68" s="227">
        <v>9987919</v>
      </c>
      <c r="D68" s="227">
        <v>2136842</v>
      </c>
      <c r="E68" s="227">
        <v>2329933.5</v>
      </c>
      <c r="F68" s="143">
        <f t="shared" si="8"/>
        <v>-0.082874253707241</v>
      </c>
      <c r="G68" s="240">
        <f t="shared" si="9"/>
        <v>0.2139426641325385</v>
      </c>
      <c r="H68" s="134"/>
    </row>
    <row r="69" spans="1:8" ht="15" customHeight="1">
      <c r="A69" s="141"/>
      <c r="B69" s="142">
        <f>DATE(2011,3,1)</f>
        <v>40603</v>
      </c>
      <c r="C69" s="227">
        <v>11917792</v>
      </c>
      <c r="D69" s="227">
        <v>2646428</v>
      </c>
      <c r="E69" s="227">
        <v>2690207.51</v>
      </c>
      <c r="F69" s="143">
        <f t="shared" si="8"/>
        <v>-0.016273655410321778</v>
      </c>
      <c r="G69" s="240">
        <f t="shared" si="9"/>
        <v>0.22205690450043095</v>
      </c>
      <c r="H69" s="134"/>
    </row>
    <row r="70" spans="1:8" ht="15" customHeight="1">
      <c r="A70" s="141"/>
      <c r="B70" s="142">
        <f>DATE(2011,4,1)</f>
        <v>40634</v>
      </c>
      <c r="C70" s="227">
        <v>10990312.5</v>
      </c>
      <c r="D70" s="227">
        <v>2468193</v>
      </c>
      <c r="E70" s="227">
        <v>2783350</v>
      </c>
      <c r="F70" s="143">
        <f t="shared" si="8"/>
        <v>-0.11322938185998886</v>
      </c>
      <c r="G70" s="240">
        <f t="shared" si="9"/>
        <v>0.22457896442890046</v>
      </c>
      <c r="H70" s="134"/>
    </row>
    <row r="71" spans="1:8" ht="15.75" thickBot="1">
      <c r="A71" s="144"/>
      <c r="B71" s="142"/>
      <c r="C71" s="227"/>
      <c r="D71" s="227"/>
      <c r="E71" s="227"/>
      <c r="F71" s="143"/>
      <c r="G71" s="240"/>
      <c r="H71" s="134"/>
    </row>
    <row r="72" spans="1:8" ht="17.25" thickBot="1" thickTop="1">
      <c r="A72" s="152" t="s">
        <v>14</v>
      </c>
      <c r="B72" s="153"/>
      <c r="C72" s="232">
        <f>SUM(C61:C71)</f>
        <v>106222866.00999999</v>
      </c>
      <c r="D72" s="290">
        <f>SUM(D61:D71)</f>
        <v>23901489.009999998</v>
      </c>
      <c r="E72" s="229">
        <f>SUM(E61:E71)</f>
        <v>23116658.769999996</v>
      </c>
      <c r="F72" s="297">
        <f>(+D72-E72)/E72</f>
        <v>0.03395085110736366</v>
      </c>
      <c r="G72" s="296">
        <f>D72/C72</f>
        <v>0.22501265412806573</v>
      </c>
      <c r="H72" s="134"/>
    </row>
    <row r="73" spans="1:8" ht="16.5" thickTop="1">
      <c r="A73" s="159"/>
      <c r="B73" s="156"/>
      <c r="C73" s="230"/>
      <c r="D73" s="230"/>
      <c r="E73" s="230"/>
      <c r="F73" s="157"/>
      <c r="G73" s="243"/>
      <c r="H73" s="134"/>
    </row>
    <row r="74" spans="1:8" ht="15.75">
      <c r="A74" s="141" t="s">
        <v>18</v>
      </c>
      <c r="B74" s="142">
        <f>DATE(2010,7,1)</f>
        <v>40360</v>
      </c>
      <c r="C74" s="227">
        <v>2829947</v>
      </c>
      <c r="D74" s="227">
        <v>396647.5</v>
      </c>
      <c r="E74" s="227">
        <v>596452.5</v>
      </c>
      <c r="F74" s="143">
        <f aca="true" t="shared" si="10" ref="F74:F83">(+D74-E74)/E74</f>
        <v>-0.33498895553292174</v>
      </c>
      <c r="G74" s="240">
        <f aca="true" t="shared" si="11" ref="G74:G83">D74/C74</f>
        <v>0.14016075212715998</v>
      </c>
      <c r="H74" s="134"/>
    </row>
    <row r="75" spans="1:8" ht="15.75">
      <c r="A75" s="141"/>
      <c r="B75" s="142">
        <f>DATE(2010,8,1)</f>
        <v>40391</v>
      </c>
      <c r="C75" s="227">
        <v>2580452.5</v>
      </c>
      <c r="D75" s="227">
        <v>552519.5</v>
      </c>
      <c r="E75" s="227">
        <v>722232</v>
      </c>
      <c r="F75" s="143">
        <f t="shared" si="10"/>
        <v>-0.23498335714839552</v>
      </c>
      <c r="G75" s="240">
        <f t="shared" si="11"/>
        <v>0.21411729144403938</v>
      </c>
      <c r="H75" s="134"/>
    </row>
    <row r="76" spans="1:8" ht="15.75">
      <c r="A76" s="141"/>
      <c r="B76" s="142">
        <f>DATE(2010,9,1)</f>
        <v>40422</v>
      </c>
      <c r="C76" s="227">
        <v>2740540.5</v>
      </c>
      <c r="D76" s="227">
        <v>434109.5</v>
      </c>
      <c r="E76" s="227">
        <v>557166.5</v>
      </c>
      <c r="F76" s="143">
        <f t="shared" si="10"/>
        <v>-0.2208621659773156</v>
      </c>
      <c r="G76" s="240">
        <f t="shared" si="11"/>
        <v>0.15840287709668951</v>
      </c>
      <c r="H76" s="134"/>
    </row>
    <row r="77" spans="1:8" ht="15.75">
      <c r="A77" s="141"/>
      <c r="B77" s="142">
        <f>DATE(2010,10,1)</f>
        <v>40452</v>
      </c>
      <c r="C77" s="227">
        <v>2899832.5</v>
      </c>
      <c r="D77" s="227">
        <v>429628.5</v>
      </c>
      <c r="E77" s="227">
        <v>546983</v>
      </c>
      <c r="F77" s="143">
        <f t="shared" si="10"/>
        <v>-0.2145487154079743</v>
      </c>
      <c r="G77" s="240">
        <f t="shared" si="11"/>
        <v>0.14815631592514394</v>
      </c>
      <c r="H77" s="134"/>
    </row>
    <row r="78" spans="1:8" ht="15.75">
      <c r="A78" s="141"/>
      <c r="B78" s="142">
        <f>DATE(2010,11,1)</f>
        <v>40483</v>
      </c>
      <c r="C78" s="227">
        <v>2598567</v>
      </c>
      <c r="D78" s="227">
        <v>500049.5</v>
      </c>
      <c r="E78" s="227">
        <v>610671.5</v>
      </c>
      <c r="F78" s="143">
        <f t="shared" si="10"/>
        <v>-0.18114812955901824</v>
      </c>
      <c r="G78" s="240">
        <f t="shared" si="11"/>
        <v>0.19243279084202947</v>
      </c>
      <c r="H78" s="134"/>
    </row>
    <row r="79" spans="1:8" ht="15.75">
      <c r="A79" s="141"/>
      <c r="B79" s="142">
        <f>DATE(2010,12,1)</f>
        <v>40513</v>
      </c>
      <c r="C79" s="227">
        <v>2630530</v>
      </c>
      <c r="D79" s="227">
        <v>575603</v>
      </c>
      <c r="E79" s="227">
        <v>600637</v>
      </c>
      <c r="F79" s="143">
        <f t="shared" si="10"/>
        <v>-0.04167908403911181</v>
      </c>
      <c r="G79" s="240">
        <f t="shared" si="11"/>
        <v>0.2188163602011762</v>
      </c>
      <c r="H79" s="134"/>
    </row>
    <row r="80" spans="1:8" ht="15.75">
      <c r="A80" s="141"/>
      <c r="B80" s="142">
        <f>DATE(2011,1,1)</f>
        <v>40544</v>
      </c>
      <c r="C80" s="227">
        <v>2372741.5</v>
      </c>
      <c r="D80" s="227">
        <v>465509</v>
      </c>
      <c r="E80" s="227">
        <v>491258</v>
      </c>
      <c r="F80" s="143">
        <f t="shared" si="10"/>
        <v>-0.05241441360751377</v>
      </c>
      <c r="G80" s="240">
        <f t="shared" si="11"/>
        <v>0.19619035617659994</v>
      </c>
      <c r="H80" s="134"/>
    </row>
    <row r="81" spans="1:8" ht="15.75">
      <c r="A81" s="141"/>
      <c r="B81" s="142">
        <f>DATE(2011,2,1)</f>
        <v>40575</v>
      </c>
      <c r="C81" s="227">
        <v>2741353.5</v>
      </c>
      <c r="D81" s="227">
        <v>573795.5</v>
      </c>
      <c r="E81" s="227">
        <v>596369.5</v>
      </c>
      <c r="F81" s="143">
        <f t="shared" si="10"/>
        <v>-0.037852371725918245</v>
      </c>
      <c r="G81" s="240">
        <f t="shared" si="11"/>
        <v>0.20931102099747442</v>
      </c>
      <c r="H81" s="134"/>
    </row>
    <row r="82" spans="1:8" ht="15.75">
      <c r="A82" s="141"/>
      <c r="B82" s="142">
        <f>DATE(2011,3,1)</f>
        <v>40603</v>
      </c>
      <c r="C82" s="227">
        <v>2836214</v>
      </c>
      <c r="D82" s="227">
        <v>606823.5</v>
      </c>
      <c r="E82" s="227">
        <v>711343.5</v>
      </c>
      <c r="F82" s="143">
        <f t="shared" si="10"/>
        <v>-0.14693323267872693</v>
      </c>
      <c r="G82" s="240">
        <f t="shared" si="11"/>
        <v>0.21395547021487096</v>
      </c>
      <c r="H82" s="134"/>
    </row>
    <row r="83" spans="1:8" ht="15.75">
      <c r="A83" s="141"/>
      <c r="B83" s="142">
        <f>DATE(2011,4,1)</f>
        <v>40634</v>
      </c>
      <c r="C83" s="227">
        <v>2624517</v>
      </c>
      <c r="D83" s="227">
        <v>588336.5</v>
      </c>
      <c r="E83" s="227">
        <v>523845</v>
      </c>
      <c r="F83" s="143">
        <f t="shared" si="10"/>
        <v>0.12311179833729442</v>
      </c>
      <c r="G83" s="240">
        <f t="shared" si="11"/>
        <v>0.22416943765271857</v>
      </c>
      <c r="H83" s="134"/>
    </row>
    <row r="84" spans="1:8" ht="16.5" thickBot="1">
      <c r="A84" s="141"/>
      <c r="B84" s="142"/>
      <c r="C84" s="227"/>
      <c r="D84" s="227"/>
      <c r="E84" s="227"/>
      <c r="F84" s="143"/>
      <c r="G84" s="240"/>
      <c r="H84" s="134"/>
    </row>
    <row r="85" spans="1:8" ht="17.25" thickBot="1" thickTop="1">
      <c r="A85" s="152" t="s">
        <v>14</v>
      </c>
      <c r="B85" s="153"/>
      <c r="C85" s="232">
        <f>SUM(C74:C84)</f>
        <v>26854695.5</v>
      </c>
      <c r="D85" s="290">
        <f>SUM(D74:D84)</f>
        <v>5123022</v>
      </c>
      <c r="E85" s="232">
        <f>SUM(E74:E84)</f>
        <v>5956958.5</v>
      </c>
      <c r="F85" s="298">
        <f>(+D85-E85)/E85</f>
        <v>-0.13999367294568194</v>
      </c>
      <c r="G85" s="296">
        <f>D85/C85</f>
        <v>0.19076820290142557</v>
      </c>
      <c r="H85" s="134"/>
    </row>
    <row r="86" spans="1:8" ht="16.5" thickTop="1">
      <c r="A86" s="141"/>
      <c r="B86" s="150"/>
      <c r="C86" s="228"/>
      <c r="D86" s="228"/>
      <c r="E86" s="228"/>
      <c r="F86" s="151"/>
      <c r="G86" s="241"/>
      <c r="H86" s="134"/>
    </row>
    <row r="87" spans="1:8" ht="15.75">
      <c r="A87" s="141" t="s">
        <v>59</v>
      </c>
      <c r="B87" s="142">
        <f>DATE(2010,7,1)</f>
        <v>40360</v>
      </c>
      <c r="C87" s="227">
        <v>11735683.21</v>
      </c>
      <c r="D87" s="227">
        <v>2451762.21</v>
      </c>
      <c r="E87" s="227">
        <v>4684954.5</v>
      </c>
      <c r="F87" s="143">
        <f aca="true" t="shared" si="12" ref="F87:F96">(+D87-E87)/E87</f>
        <v>-0.4766732078187739</v>
      </c>
      <c r="G87" s="240">
        <f aca="true" t="shared" si="13" ref="G87:G96">D87/C87</f>
        <v>0.20891516634590546</v>
      </c>
      <c r="H87" s="134"/>
    </row>
    <row r="88" spans="1:8" ht="15.75">
      <c r="A88" s="141"/>
      <c r="B88" s="142">
        <f>DATE(2010,8,1)</f>
        <v>40391</v>
      </c>
      <c r="C88" s="227">
        <v>11915945.8</v>
      </c>
      <c r="D88" s="227">
        <v>2860837.8</v>
      </c>
      <c r="E88" s="227">
        <v>2677308</v>
      </c>
      <c r="F88" s="143">
        <f t="shared" si="12"/>
        <v>0.0685501257233011</v>
      </c>
      <c r="G88" s="240">
        <f t="shared" si="13"/>
        <v>0.24008482818040341</v>
      </c>
      <c r="H88" s="134"/>
    </row>
    <row r="89" spans="1:8" ht="15.75">
      <c r="A89" s="141"/>
      <c r="B89" s="142">
        <f>DATE(2010,9,1)</f>
        <v>40422</v>
      </c>
      <c r="C89" s="227">
        <v>12160737.5</v>
      </c>
      <c r="D89" s="227">
        <v>2176427.11</v>
      </c>
      <c r="E89" s="227">
        <v>1864246.5</v>
      </c>
      <c r="F89" s="143">
        <f t="shared" si="12"/>
        <v>0.16745672313183899</v>
      </c>
      <c r="G89" s="240">
        <f t="shared" si="13"/>
        <v>0.17897163802771007</v>
      </c>
      <c r="H89" s="134"/>
    </row>
    <row r="90" spans="1:8" ht="15.75">
      <c r="A90" s="141"/>
      <c r="B90" s="142">
        <f>DATE(2010,10,1)</f>
        <v>40452</v>
      </c>
      <c r="C90" s="227">
        <v>11361941</v>
      </c>
      <c r="D90" s="227">
        <v>3297781</v>
      </c>
      <c r="E90" s="227">
        <v>4245359</v>
      </c>
      <c r="F90" s="143">
        <f t="shared" si="12"/>
        <v>-0.2232032673797434</v>
      </c>
      <c r="G90" s="240">
        <f t="shared" si="13"/>
        <v>0.29024803068419386</v>
      </c>
      <c r="H90" s="134"/>
    </row>
    <row r="91" spans="1:8" ht="15.75">
      <c r="A91" s="141"/>
      <c r="B91" s="142">
        <f>DATE(2010,11,1)</f>
        <v>40483</v>
      </c>
      <c r="C91" s="227">
        <v>10035878.58</v>
      </c>
      <c r="D91" s="227">
        <v>2427632.58</v>
      </c>
      <c r="E91" s="227">
        <v>2951525</v>
      </c>
      <c r="F91" s="143">
        <f t="shared" si="12"/>
        <v>-0.17749889294517238</v>
      </c>
      <c r="G91" s="240">
        <f t="shared" si="13"/>
        <v>0.24189537175528483</v>
      </c>
      <c r="H91" s="134"/>
    </row>
    <row r="92" spans="1:8" ht="15.75">
      <c r="A92" s="141"/>
      <c r="B92" s="142">
        <f>DATE(2010,12,1)</f>
        <v>40513</v>
      </c>
      <c r="C92" s="227">
        <v>11609258.7</v>
      </c>
      <c r="D92" s="227">
        <v>2515647.2</v>
      </c>
      <c r="E92" s="227">
        <v>3442911</v>
      </c>
      <c r="F92" s="143">
        <f t="shared" si="12"/>
        <v>-0.26932552133935495</v>
      </c>
      <c r="G92" s="240">
        <f t="shared" si="13"/>
        <v>0.2166931812795248</v>
      </c>
      <c r="H92" s="134"/>
    </row>
    <row r="93" spans="1:8" ht="15.75">
      <c r="A93" s="141"/>
      <c r="B93" s="142">
        <f>DATE(2011,1,1)</f>
        <v>40544</v>
      </c>
      <c r="C93" s="227">
        <v>10520913.6</v>
      </c>
      <c r="D93" s="227">
        <v>2660825.81</v>
      </c>
      <c r="E93" s="227">
        <v>2350524.1</v>
      </c>
      <c r="F93" s="143">
        <f t="shared" si="12"/>
        <v>0.1320138389561715</v>
      </c>
      <c r="G93" s="240">
        <f t="shared" si="13"/>
        <v>0.25290824648536225</v>
      </c>
      <c r="H93" s="134"/>
    </row>
    <row r="94" spans="1:8" ht="15.75">
      <c r="A94" s="141"/>
      <c r="B94" s="142">
        <f>DATE(2011,2,1)</f>
        <v>40575</v>
      </c>
      <c r="C94" s="227">
        <v>10788783.5</v>
      </c>
      <c r="D94" s="227">
        <v>2336580</v>
      </c>
      <c r="E94" s="227">
        <v>2993081.5</v>
      </c>
      <c r="F94" s="143">
        <f t="shared" si="12"/>
        <v>-0.21933966716242106</v>
      </c>
      <c r="G94" s="240">
        <f t="shared" si="13"/>
        <v>0.21657492709905615</v>
      </c>
      <c r="H94" s="134"/>
    </row>
    <row r="95" spans="1:8" ht="15.75">
      <c r="A95" s="141"/>
      <c r="B95" s="142">
        <f>DATE(2011,3,1)</f>
        <v>40603</v>
      </c>
      <c r="C95" s="227">
        <v>12690276</v>
      </c>
      <c r="D95" s="227">
        <v>2611628.87</v>
      </c>
      <c r="E95" s="227">
        <v>2320208.7</v>
      </c>
      <c r="F95" s="143">
        <f t="shared" si="12"/>
        <v>0.1256008435792866</v>
      </c>
      <c r="G95" s="240">
        <f t="shared" si="13"/>
        <v>0.20579764143821616</v>
      </c>
      <c r="H95" s="134"/>
    </row>
    <row r="96" spans="1:8" ht="15.75">
      <c r="A96" s="141"/>
      <c r="B96" s="142">
        <f>DATE(2011,4,1)</f>
        <v>40634</v>
      </c>
      <c r="C96" s="227">
        <v>12543936.18</v>
      </c>
      <c r="D96" s="227">
        <v>2406338.74</v>
      </c>
      <c r="E96" s="227">
        <v>2068153.5</v>
      </c>
      <c r="F96" s="143">
        <f t="shared" si="12"/>
        <v>0.1635203769932939</v>
      </c>
      <c r="G96" s="240">
        <f t="shared" si="13"/>
        <v>0.19183282707039412</v>
      </c>
      <c r="H96" s="134"/>
    </row>
    <row r="97" spans="1:8" ht="16.5" thickBot="1">
      <c r="A97" s="141"/>
      <c r="B97" s="142"/>
      <c r="C97" s="227"/>
      <c r="D97" s="227"/>
      <c r="E97" s="227"/>
      <c r="F97" s="143"/>
      <c r="G97" s="240"/>
      <c r="H97" s="134"/>
    </row>
    <row r="98" spans="1:8" ht="17.25" thickBot="1" thickTop="1">
      <c r="A98" s="152" t="s">
        <v>14</v>
      </c>
      <c r="B98" s="153"/>
      <c r="C98" s="229">
        <f>SUM(C87:C97)</f>
        <v>115363354.07</v>
      </c>
      <c r="D98" s="229">
        <f>SUM(D87:D97)</f>
        <v>25745461.32</v>
      </c>
      <c r="E98" s="229">
        <f>SUM(E87:E97)</f>
        <v>29598271.8</v>
      </c>
      <c r="F98" s="154">
        <f>(+D98-E98)/E98</f>
        <v>-0.13017011621604205</v>
      </c>
      <c r="G98" s="242">
        <f>D98/C98</f>
        <v>0.2231684535140874</v>
      </c>
      <c r="H98" s="134"/>
    </row>
    <row r="99" spans="1:8" ht="16.5" thickTop="1">
      <c r="A99" s="149"/>
      <c r="B99" s="150"/>
      <c r="C99" s="228"/>
      <c r="D99" s="228"/>
      <c r="E99" s="228"/>
      <c r="F99" s="151"/>
      <c r="G99" s="241"/>
      <c r="H99" s="134"/>
    </row>
    <row r="100" spans="1:8" ht="15.75">
      <c r="A100" s="141" t="s">
        <v>19</v>
      </c>
      <c r="B100" s="142">
        <f>DATE(2010,7,1)</f>
        <v>40360</v>
      </c>
      <c r="C100" s="227">
        <v>13620408</v>
      </c>
      <c r="D100" s="227">
        <v>2799211.5</v>
      </c>
      <c r="E100" s="227">
        <v>2369474</v>
      </c>
      <c r="F100" s="143">
        <f aca="true" t="shared" si="14" ref="F100:F109">(+D100-E100)/E100</f>
        <v>0.18136409177733118</v>
      </c>
      <c r="G100" s="240">
        <f aca="true" t="shared" si="15" ref="G100:G109">D100/C100</f>
        <v>0.20551598013803993</v>
      </c>
      <c r="H100" s="134"/>
    </row>
    <row r="101" spans="1:8" ht="15.75">
      <c r="A101" s="141"/>
      <c r="B101" s="142">
        <f>DATE(2010,8,1)</f>
        <v>40391</v>
      </c>
      <c r="C101" s="227">
        <v>12637959</v>
      </c>
      <c r="D101" s="227">
        <v>2069652.5</v>
      </c>
      <c r="E101" s="227">
        <v>2531869.5</v>
      </c>
      <c r="F101" s="143">
        <f t="shared" si="14"/>
        <v>-0.18255956714988666</v>
      </c>
      <c r="G101" s="240">
        <f t="shared" si="15"/>
        <v>0.16376477404302386</v>
      </c>
      <c r="H101" s="134"/>
    </row>
    <row r="102" spans="1:8" ht="15.75">
      <c r="A102" s="141"/>
      <c r="B102" s="142">
        <f>DATE(2010,9,1)</f>
        <v>40422</v>
      </c>
      <c r="C102" s="227">
        <v>11868273.5</v>
      </c>
      <c r="D102" s="227">
        <v>2150289.5</v>
      </c>
      <c r="E102" s="227">
        <v>2049175</v>
      </c>
      <c r="F102" s="143">
        <f t="shared" si="14"/>
        <v>0.049344004294411166</v>
      </c>
      <c r="G102" s="240">
        <f t="shared" si="15"/>
        <v>0.18117963830206643</v>
      </c>
      <c r="H102" s="134"/>
    </row>
    <row r="103" spans="1:8" ht="15.75">
      <c r="A103" s="141"/>
      <c r="B103" s="142">
        <f>DATE(2010,10,1)</f>
        <v>40452</v>
      </c>
      <c r="C103" s="227">
        <v>11644434.5</v>
      </c>
      <c r="D103" s="227">
        <v>2098495</v>
      </c>
      <c r="E103" s="227">
        <v>2301915</v>
      </c>
      <c r="F103" s="143">
        <f t="shared" si="14"/>
        <v>-0.08836990071310191</v>
      </c>
      <c r="G103" s="240">
        <f t="shared" si="15"/>
        <v>0.18021441917166522</v>
      </c>
      <c r="H103" s="134"/>
    </row>
    <row r="104" spans="1:8" ht="15.75">
      <c r="A104" s="141"/>
      <c r="B104" s="142">
        <f>DATE(2010,11,1)</f>
        <v>40483</v>
      </c>
      <c r="C104" s="227">
        <v>10472184</v>
      </c>
      <c r="D104" s="227">
        <v>2093936</v>
      </c>
      <c r="E104" s="227">
        <v>2328826</v>
      </c>
      <c r="F104" s="143">
        <f t="shared" si="14"/>
        <v>-0.10086197938360358</v>
      </c>
      <c r="G104" s="240">
        <f t="shared" si="15"/>
        <v>0.19995217807479318</v>
      </c>
      <c r="H104" s="134"/>
    </row>
    <row r="105" spans="1:8" ht="15.75">
      <c r="A105" s="141"/>
      <c r="B105" s="142">
        <f>DATE(2010,12,1)</f>
        <v>40513</v>
      </c>
      <c r="C105" s="227">
        <v>10699933</v>
      </c>
      <c r="D105" s="227">
        <v>2813332.5</v>
      </c>
      <c r="E105" s="227">
        <v>2151109.5</v>
      </c>
      <c r="F105" s="143">
        <f t="shared" si="14"/>
        <v>0.3078518318105145</v>
      </c>
      <c r="G105" s="240">
        <f t="shared" si="15"/>
        <v>0.2629299174116324</v>
      </c>
      <c r="H105" s="134"/>
    </row>
    <row r="106" spans="1:8" ht="15.75">
      <c r="A106" s="141"/>
      <c r="B106" s="142">
        <f>DATE(2011,1,1)</f>
        <v>40544</v>
      </c>
      <c r="C106" s="227">
        <v>11254876</v>
      </c>
      <c r="D106" s="227">
        <v>2264806.5</v>
      </c>
      <c r="E106" s="227">
        <v>2671101.5</v>
      </c>
      <c r="F106" s="143">
        <f t="shared" si="14"/>
        <v>-0.15210766045393634</v>
      </c>
      <c r="G106" s="240">
        <f t="shared" si="15"/>
        <v>0.2012289162492772</v>
      </c>
      <c r="H106" s="134"/>
    </row>
    <row r="107" spans="1:8" ht="15.75">
      <c r="A107" s="141"/>
      <c r="B107" s="142">
        <f>DATE(2011,2,1)</f>
        <v>40575</v>
      </c>
      <c r="C107" s="227">
        <v>10639896</v>
      </c>
      <c r="D107" s="227">
        <v>2067931.5</v>
      </c>
      <c r="E107" s="227">
        <v>2000727</v>
      </c>
      <c r="F107" s="143">
        <f t="shared" si="14"/>
        <v>0.033590040020452565</v>
      </c>
      <c r="G107" s="240">
        <f t="shared" si="15"/>
        <v>0.194356364009573</v>
      </c>
      <c r="H107" s="134"/>
    </row>
    <row r="108" spans="1:8" ht="15.75">
      <c r="A108" s="141"/>
      <c r="B108" s="142">
        <f>DATE(2011,3,1)</f>
        <v>40603</v>
      </c>
      <c r="C108" s="227">
        <v>11788055</v>
      </c>
      <c r="D108" s="227">
        <v>2393479.5</v>
      </c>
      <c r="E108" s="227">
        <v>1933398</v>
      </c>
      <c r="F108" s="143">
        <f t="shared" si="14"/>
        <v>0.2379652301285095</v>
      </c>
      <c r="G108" s="240">
        <f t="shared" si="15"/>
        <v>0.20304278356353106</v>
      </c>
      <c r="H108" s="134"/>
    </row>
    <row r="109" spans="1:8" ht="15.75">
      <c r="A109" s="141"/>
      <c r="B109" s="142">
        <f>DATE(2011,4,1)</f>
        <v>40634</v>
      </c>
      <c r="C109" s="227">
        <v>11259953.01</v>
      </c>
      <c r="D109" s="227">
        <v>2361909.01</v>
      </c>
      <c r="E109" s="227">
        <v>2066215.51</v>
      </c>
      <c r="F109" s="143">
        <f t="shared" si="14"/>
        <v>0.14310874086895212</v>
      </c>
      <c r="G109" s="240">
        <f t="shared" si="15"/>
        <v>0.20976188869548398</v>
      </c>
      <c r="H109" s="134"/>
    </row>
    <row r="110" spans="1:8" ht="16.5" thickBot="1">
      <c r="A110" s="141"/>
      <c r="B110" s="142"/>
      <c r="C110" s="227"/>
      <c r="D110" s="227"/>
      <c r="E110" s="227"/>
      <c r="F110" s="143"/>
      <c r="G110" s="240"/>
      <c r="H110" s="134"/>
    </row>
    <row r="111" spans="1:8" ht="17.25" thickBot="1" thickTop="1">
      <c r="A111" s="152" t="s">
        <v>14</v>
      </c>
      <c r="B111" s="153"/>
      <c r="C111" s="229">
        <f>SUM(C100:C110)</f>
        <v>115885972.01</v>
      </c>
      <c r="D111" s="229">
        <f>SUM(D100:D110)</f>
        <v>23113043.509999998</v>
      </c>
      <c r="E111" s="229">
        <f>SUM(E100:E110)</f>
        <v>22403811.01</v>
      </c>
      <c r="F111" s="154">
        <f>(+D111-E111)/E111</f>
        <v>0.03165677927221527</v>
      </c>
      <c r="G111" s="242">
        <f>D111/C111</f>
        <v>0.19944643091059833</v>
      </c>
      <c r="H111" s="134"/>
    </row>
    <row r="112" spans="1:8" ht="16.5" thickTop="1">
      <c r="A112" s="149"/>
      <c r="B112" s="150"/>
      <c r="C112" s="228"/>
      <c r="D112" s="228"/>
      <c r="E112" s="228"/>
      <c r="F112" s="151"/>
      <c r="G112" s="241"/>
      <c r="H112" s="134"/>
    </row>
    <row r="113" spans="1:8" ht="15.75">
      <c r="A113" s="141" t="s">
        <v>65</v>
      </c>
      <c r="B113" s="142">
        <f>DATE(2010,7,1)</f>
        <v>40360</v>
      </c>
      <c r="C113" s="227">
        <v>8899747.5</v>
      </c>
      <c r="D113" s="227">
        <v>1678098.5</v>
      </c>
      <c r="E113" s="227">
        <v>0</v>
      </c>
      <c r="F113" s="143">
        <v>0</v>
      </c>
      <c r="G113" s="240">
        <f aca="true" t="shared" si="16" ref="G113:G122">D113/C113</f>
        <v>0.18855574273315057</v>
      </c>
      <c r="H113" s="134"/>
    </row>
    <row r="114" spans="1:8" ht="15.75">
      <c r="A114" s="141"/>
      <c r="B114" s="142">
        <f>DATE(2010,8,1)</f>
        <v>40391</v>
      </c>
      <c r="C114" s="227">
        <v>8449092.5</v>
      </c>
      <c r="D114" s="227">
        <v>1753798.5</v>
      </c>
      <c r="E114" s="227">
        <v>0</v>
      </c>
      <c r="F114" s="143">
        <v>0</v>
      </c>
      <c r="G114" s="240">
        <f t="shared" si="16"/>
        <v>0.20757241088318065</v>
      </c>
      <c r="H114" s="134"/>
    </row>
    <row r="115" spans="1:8" ht="15.75">
      <c r="A115" s="141"/>
      <c r="B115" s="142">
        <f>DATE(2010,9,1)</f>
        <v>40422</v>
      </c>
      <c r="C115" s="227">
        <v>7495631</v>
      </c>
      <c r="D115" s="227">
        <v>1465247</v>
      </c>
      <c r="E115" s="227">
        <v>0</v>
      </c>
      <c r="F115" s="143">
        <v>0</v>
      </c>
      <c r="G115" s="240">
        <f t="shared" si="16"/>
        <v>0.19548014036443362</v>
      </c>
      <c r="H115" s="134"/>
    </row>
    <row r="116" spans="1:8" ht="15.75">
      <c r="A116" s="141"/>
      <c r="B116" s="142">
        <f>DATE(2010,10,1)</f>
        <v>40452</v>
      </c>
      <c r="C116" s="227">
        <v>8003641</v>
      </c>
      <c r="D116" s="227">
        <v>1608544</v>
      </c>
      <c r="E116" s="227">
        <v>0</v>
      </c>
      <c r="F116" s="143">
        <v>0</v>
      </c>
      <c r="G116" s="240">
        <f t="shared" si="16"/>
        <v>0.20097653055653045</v>
      </c>
      <c r="H116" s="134"/>
    </row>
    <row r="117" spans="1:8" ht="15.75">
      <c r="A117" s="141"/>
      <c r="B117" s="142">
        <f>DATE(2010,11,1)</f>
        <v>40483</v>
      </c>
      <c r="C117" s="227">
        <v>7685978</v>
      </c>
      <c r="D117" s="227">
        <v>1678224.5</v>
      </c>
      <c r="E117" s="227">
        <v>0</v>
      </c>
      <c r="F117" s="143">
        <v>0</v>
      </c>
      <c r="G117" s="240">
        <f t="shared" si="16"/>
        <v>0.21834885553926905</v>
      </c>
      <c r="H117" s="134"/>
    </row>
    <row r="118" spans="1:8" ht="15.75">
      <c r="A118" s="141"/>
      <c r="B118" s="142">
        <f>DATE(2010,12,1)</f>
        <v>40513</v>
      </c>
      <c r="C118" s="227">
        <v>7994747.5</v>
      </c>
      <c r="D118" s="227">
        <v>1921723.5</v>
      </c>
      <c r="E118" s="227">
        <v>0</v>
      </c>
      <c r="F118" s="143">
        <v>0</v>
      </c>
      <c r="G118" s="240">
        <f t="shared" si="16"/>
        <v>0.2403732575669213</v>
      </c>
      <c r="H118" s="134"/>
    </row>
    <row r="119" spans="1:8" ht="15.75">
      <c r="A119" s="141"/>
      <c r="B119" s="142">
        <f>DATE(2011,1,1)</f>
        <v>40544</v>
      </c>
      <c r="C119" s="227">
        <v>7933965</v>
      </c>
      <c r="D119" s="227">
        <v>1853374.5</v>
      </c>
      <c r="E119" s="227">
        <v>0</v>
      </c>
      <c r="F119" s="143">
        <v>0</v>
      </c>
      <c r="G119" s="240">
        <f t="shared" si="16"/>
        <v>0.23360003478714614</v>
      </c>
      <c r="H119" s="134"/>
    </row>
    <row r="120" spans="1:8" ht="15.75">
      <c r="A120" s="141"/>
      <c r="B120" s="142">
        <f>DATE(2011,2,1)</f>
        <v>40575</v>
      </c>
      <c r="C120" s="227">
        <v>7807840</v>
      </c>
      <c r="D120" s="227">
        <v>1529597</v>
      </c>
      <c r="E120" s="227">
        <v>0</v>
      </c>
      <c r="F120" s="143">
        <v>0</v>
      </c>
      <c r="G120" s="240">
        <f t="shared" si="16"/>
        <v>0.19590526957519622</v>
      </c>
      <c r="H120" s="134"/>
    </row>
    <row r="121" spans="1:8" ht="15.75">
      <c r="A121" s="141"/>
      <c r="B121" s="142">
        <f>DATE(2011,3,1)</f>
        <v>40603</v>
      </c>
      <c r="C121" s="227">
        <v>10175685</v>
      </c>
      <c r="D121" s="227">
        <v>1733656</v>
      </c>
      <c r="E121" s="227">
        <v>1777083</v>
      </c>
      <c r="F121" s="143">
        <f>(+D121-E121)/E121</f>
        <v>-0.024437237878028206</v>
      </c>
      <c r="G121" s="240">
        <f t="shared" si="16"/>
        <v>0.1703724122749476</v>
      </c>
      <c r="H121" s="134"/>
    </row>
    <row r="122" spans="1:8" ht="15.75">
      <c r="A122" s="141"/>
      <c r="B122" s="142">
        <f>DATE(2011,4,1)</f>
        <v>40634</v>
      </c>
      <c r="C122" s="227">
        <v>8985087</v>
      </c>
      <c r="D122" s="227">
        <v>1795834</v>
      </c>
      <c r="E122" s="227">
        <v>1632813.5</v>
      </c>
      <c r="F122" s="143">
        <f>(+D122-E122)/E122</f>
        <v>0.0998402450739169</v>
      </c>
      <c r="G122" s="240">
        <f t="shared" si="16"/>
        <v>0.19986829287240068</v>
      </c>
      <c r="H122" s="134"/>
    </row>
    <row r="123" spans="1:8" ht="15.75" thickBot="1">
      <c r="A123" s="144"/>
      <c r="B123" s="142"/>
      <c r="C123" s="227"/>
      <c r="D123" s="227"/>
      <c r="E123" s="227"/>
      <c r="F123" s="143"/>
      <c r="G123" s="240"/>
      <c r="H123" s="134"/>
    </row>
    <row r="124" spans="1:8" ht="17.25" thickBot="1" thickTop="1">
      <c r="A124" s="152" t="s">
        <v>14</v>
      </c>
      <c r="B124" s="153"/>
      <c r="C124" s="232">
        <f>SUM(C113:C123)</f>
        <v>83431414.5</v>
      </c>
      <c r="D124" s="232">
        <f>SUM(D113:D123)</f>
        <v>17018097.5</v>
      </c>
      <c r="E124" s="232">
        <f>SUM(E113:E123)</f>
        <v>3409896.5</v>
      </c>
      <c r="F124" s="154">
        <f>(+D124-E124)/E124</f>
        <v>3.9907959083215574</v>
      </c>
      <c r="G124" s="296">
        <f>D124/C124</f>
        <v>0.20397709426345637</v>
      </c>
      <c r="H124" s="134"/>
    </row>
    <row r="125" spans="1:8" ht="16.5" thickTop="1">
      <c r="A125" s="149"/>
      <c r="B125" s="150"/>
      <c r="C125" s="228"/>
      <c r="D125" s="228"/>
      <c r="E125" s="228"/>
      <c r="F125" s="151"/>
      <c r="G125" s="241"/>
      <c r="H125" s="134"/>
    </row>
    <row r="126" spans="1:8" ht="15.75">
      <c r="A126" s="141" t="s">
        <v>62</v>
      </c>
      <c r="B126" s="142">
        <f>DATE(2010,7,1)</f>
        <v>40360</v>
      </c>
      <c r="C126" s="227">
        <v>0</v>
      </c>
      <c r="D126" s="227">
        <v>0</v>
      </c>
      <c r="E126" s="227">
        <v>74428</v>
      </c>
      <c r="F126" s="143">
        <f aca="true" t="shared" si="17" ref="F126:F135">(+D126-E126)/E126</f>
        <v>-1</v>
      </c>
      <c r="G126" s="240">
        <v>0</v>
      </c>
      <c r="H126" s="134"/>
    </row>
    <row r="127" spans="1:8" ht="15.75">
      <c r="A127" s="141"/>
      <c r="B127" s="142">
        <f>DATE(2010,8,1)</f>
        <v>40391</v>
      </c>
      <c r="C127" s="227">
        <v>0</v>
      </c>
      <c r="D127" s="227">
        <v>0</v>
      </c>
      <c r="E127" s="227">
        <v>103990.5</v>
      </c>
      <c r="F127" s="143">
        <f t="shared" si="17"/>
        <v>-1</v>
      </c>
      <c r="G127" s="240">
        <v>0</v>
      </c>
      <c r="H127" s="134"/>
    </row>
    <row r="128" spans="1:8" ht="15.75">
      <c r="A128" s="141"/>
      <c r="B128" s="142">
        <f>DATE(2010,9,1)</f>
        <v>40422</v>
      </c>
      <c r="C128" s="227">
        <v>0</v>
      </c>
      <c r="D128" s="227">
        <v>0</v>
      </c>
      <c r="E128" s="227">
        <v>91616.5</v>
      </c>
      <c r="F128" s="143">
        <f t="shared" si="17"/>
        <v>-1</v>
      </c>
      <c r="G128" s="240">
        <v>0</v>
      </c>
      <c r="H128" s="134"/>
    </row>
    <row r="129" spans="1:8" ht="15.75">
      <c r="A129" s="141"/>
      <c r="B129" s="142">
        <f>DATE(2010,10,1)</f>
        <v>40452</v>
      </c>
      <c r="C129" s="227">
        <v>0</v>
      </c>
      <c r="D129" s="227">
        <v>0</v>
      </c>
      <c r="E129" s="227">
        <v>83702</v>
      </c>
      <c r="F129" s="143">
        <f t="shared" si="17"/>
        <v>-1</v>
      </c>
      <c r="G129" s="240">
        <v>0</v>
      </c>
      <c r="H129" s="134"/>
    </row>
    <row r="130" spans="1:8" ht="15.75">
      <c r="A130" s="141"/>
      <c r="B130" s="142">
        <f>DATE(2010,11,1)</f>
        <v>40483</v>
      </c>
      <c r="C130" s="227">
        <v>0</v>
      </c>
      <c r="D130" s="227">
        <v>0</v>
      </c>
      <c r="E130" s="227">
        <v>83732.5</v>
      </c>
      <c r="F130" s="143">
        <f t="shared" si="17"/>
        <v>-1</v>
      </c>
      <c r="G130" s="240">
        <v>0</v>
      </c>
      <c r="H130" s="134"/>
    </row>
    <row r="131" spans="1:8" ht="15.75">
      <c r="A131" s="141"/>
      <c r="B131" s="142">
        <f>DATE(2010,12,1)</f>
        <v>40513</v>
      </c>
      <c r="C131" s="227">
        <v>0</v>
      </c>
      <c r="D131" s="227">
        <v>0</v>
      </c>
      <c r="E131" s="227">
        <v>76960.5</v>
      </c>
      <c r="F131" s="143">
        <f t="shared" si="17"/>
        <v>-1</v>
      </c>
      <c r="G131" s="240">
        <v>0</v>
      </c>
      <c r="H131" s="134"/>
    </row>
    <row r="132" spans="1:8" ht="15.75">
      <c r="A132" s="141"/>
      <c r="B132" s="142">
        <f>DATE(2011,1,1)</f>
        <v>40544</v>
      </c>
      <c r="C132" s="227">
        <v>0</v>
      </c>
      <c r="D132" s="227">
        <v>0</v>
      </c>
      <c r="E132" s="227">
        <v>113853</v>
      </c>
      <c r="F132" s="143">
        <f t="shared" si="17"/>
        <v>-1</v>
      </c>
      <c r="G132" s="240">
        <v>0</v>
      </c>
      <c r="H132" s="134"/>
    </row>
    <row r="133" spans="1:8" ht="15.75">
      <c r="A133" s="141"/>
      <c r="B133" s="142">
        <f>DATE(2011,2,1)</f>
        <v>40575</v>
      </c>
      <c r="C133" s="227">
        <v>0</v>
      </c>
      <c r="D133" s="227">
        <v>0</v>
      </c>
      <c r="E133" s="227">
        <v>91385</v>
      </c>
      <c r="F133" s="143">
        <f t="shared" si="17"/>
        <v>-1</v>
      </c>
      <c r="G133" s="240">
        <v>0</v>
      </c>
      <c r="H133" s="134"/>
    </row>
    <row r="134" spans="1:8" ht="15.75">
      <c r="A134" s="141"/>
      <c r="B134" s="142">
        <f>DATE(2011,3,1)</f>
        <v>40603</v>
      </c>
      <c r="C134" s="227">
        <v>0</v>
      </c>
      <c r="D134" s="227">
        <v>0</v>
      </c>
      <c r="E134" s="227">
        <v>58337.5</v>
      </c>
      <c r="F134" s="143">
        <f t="shared" si="17"/>
        <v>-1</v>
      </c>
      <c r="G134" s="240">
        <v>0</v>
      </c>
      <c r="H134" s="134"/>
    </row>
    <row r="135" spans="1:8" ht="15.75">
      <c r="A135" s="141"/>
      <c r="B135" s="142">
        <f>DATE(2011,4,1)</f>
        <v>40634</v>
      </c>
      <c r="C135" s="227">
        <v>0</v>
      </c>
      <c r="D135" s="227">
        <v>0</v>
      </c>
      <c r="E135" s="227">
        <v>69457</v>
      </c>
      <c r="F135" s="143">
        <f t="shared" si="17"/>
        <v>-1</v>
      </c>
      <c r="G135" s="240">
        <v>0</v>
      </c>
      <c r="H135" s="134"/>
    </row>
    <row r="136" spans="1:8" ht="15.75" thickBot="1">
      <c r="A136" s="144"/>
      <c r="B136" s="142"/>
      <c r="C136" s="227"/>
      <c r="D136" s="227"/>
      <c r="E136" s="227"/>
      <c r="F136" s="143"/>
      <c r="G136" s="240"/>
      <c r="H136" s="134"/>
    </row>
    <row r="137" spans="1:8" ht="17.25" thickBot="1" thickTop="1">
      <c r="A137" s="152" t="s">
        <v>14</v>
      </c>
      <c r="B137" s="229"/>
      <c r="C137" s="229">
        <f>SUM(C126:C136)</f>
        <v>0</v>
      </c>
      <c r="D137" s="229">
        <f>SUM(D126:D136)</f>
        <v>0</v>
      </c>
      <c r="E137" s="229">
        <f>SUM(E126:E136)</f>
        <v>847462.5</v>
      </c>
      <c r="F137" s="297">
        <f>(+D137-E137)/E137</f>
        <v>-1</v>
      </c>
      <c r="G137" s="296">
        <v>0</v>
      </c>
      <c r="H137" s="134"/>
    </row>
    <row r="138" spans="1:8" ht="16.5" thickTop="1">
      <c r="A138" s="160"/>
      <c r="B138" s="161"/>
      <c r="C138" s="231"/>
      <c r="D138" s="231"/>
      <c r="E138" s="231"/>
      <c r="F138" s="162"/>
      <c r="G138" s="244"/>
      <c r="H138" s="134"/>
    </row>
    <row r="139" spans="1:8" ht="15.75">
      <c r="A139" s="141" t="s">
        <v>57</v>
      </c>
      <c r="B139" s="142">
        <f>DATE(2010,7,1)</f>
        <v>40360</v>
      </c>
      <c r="C139" s="227">
        <v>942733.5</v>
      </c>
      <c r="D139" s="227">
        <v>202334.5</v>
      </c>
      <c r="E139" s="227">
        <v>219590</v>
      </c>
      <c r="F139" s="143">
        <f aca="true" t="shared" si="18" ref="F139:F148">(+D139-E139)/E139</f>
        <v>-0.0785805364543012</v>
      </c>
      <c r="G139" s="240">
        <f aca="true" t="shared" si="19" ref="G139:G148">D139/C139</f>
        <v>0.2146253421566116</v>
      </c>
      <c r="H139" s="134"/>
    </row>
    <row r="140" spans="1:8" ht="15.75">
      <c r="A140" s="141"/>
      <c r="B140" s="142">
        <f>DATE(2010,8,1)</f>
        <v>40391</v>
      </c>
      <c r="C140" s="227">
        <v>861203</v>
      </c>
      <c r="D140" s="227">
        <v>187150.5</v>
      </c>
      <c r="E140" s="227">
        <v>154806</v>
      </c>
      <c r="F140" s="143">
        <f t="shared" si="18"/>
        <v>0.20893570016666022</v>
      </c>
      <c r="G140" s="240">
        <f t="shared" si="19"/>
        <v>0.2173128751293249</v>
      </c>
      <c r="H140" s="134"/>
    </row>
    <row r="141" spans="1:8" ht="15.75">
      <c r="A141" s="141"/>
      <c r="B141" s="142">
        <f>DATE(2010,9,1)</f>
        <v>40422</v>
      </c>
      <c r="C141" s="227">
        <v>856421</v>
      </c>
      <c r="D141" s="227">
        <v>224483</v>
      </c>
      <c r="E141" s="227">
        <v>208281</v>
      </c>
      <c r="F141" s="143">
        <f t="shared" si="18"/>
        <v>0.07778914063212679</v>
      </c>
      <c r="G141" s="240">
        <f t="shared" si="19"/>
        <v>0.26211758002197516</v>
      </c>
      <c r="H141" s="134"/>
    </row>
    <row r="142" spans="1:8" ht="15.75">
      <c r="A142" s="141"/>
      <c r="B142" s="142">
        <f>DATE(2010,10,1)</f>
        <v>40452</v>
      </c>
      <c r="C142" s="227">
        <v>890428</v>
      </c>
      <c r="D142" s="227">
        <v>223258.5</v>
      </c>
      <c r="E142" s="227">
        <v>176048.5</v>
      </c>
      <c r="F142" s="143">
        <f t="shared" si="18"/>
        <v>0.2681647386941667</v>
      </c>
      <c r="G142" s="240">
        <f t="shared" si="19"/>
        <v>0.25073167061233476</v>
      </c>
      <c r="H142" s="134"/>
    </row>
    <row r="143" spans="1:8" ht="15.75">
      <c r="A143" s="141"/>
      <c r="B143" s="142">
        <f>DATE(2010,11,1)</f>
        <v>40483</v>
      </c>
      <c r="C143" s="227">
        <v>813669</v>
      </c>
      <c r="D143" s="227">
        <v>193612</v>
      </c>
      <c r="E143" s="227">
        <v>224412</v>
      </c>
      <c r="F143" s="143">
        <f t="shared" si="18"/>
        <v>-0.13724756251893838</v>
      </c>
      <c r="G143" s="240">
        <f t="shared" si="19"/>
        <v>0.23794933812152116</v>
      </c>
      <c r="H143" s="134"/>
    </row>
    <row r="144" spans="1:8" ht="15.75">
      <c r="A144" s="141"/>
      <c r="B144" s="142">
        <f>DATE(2010,12,1)</f>
        <v>40513</v>
      </c>
      <c r="C144" s="227">
        <v>985947</v>
      </c>
      <c r="D144" s="227">
        <v>249813</v>
      </c>
      <c r="E144" s="227">
        <v>210905.5</v>
      </c>
      <c r="F144" s="143">
        <f t="shared" si="18"/>
        <v>0.1844783564202925</v>
      </c>
      <c r="G144" s="240">
        <f t="shared" si="19"/>
        <v>0.2533736600446069</v>
      </c>
      <c r="H144" s="134"/>
    </row>
    <row r="145" spans="1:8" ht="15.75">
      <c r="A145" s="141"/>
      <c r="B145" s="142">
        <f>DATE(2011,1,1)</f>
        <v>40544</v>
      </c>
      <c r="C145" s="227">
        <v>962672</v>
      </c>
      <c r="D145" s="227">
        <v>228037.5</v>
      </c>
      <c r="E145" s="227">
        <v>188103</v>
      </c>
      <c r="F145" s="143">
        <f t="shared" si="18"/>
        <v>0.21230123921468558</v>
      </c>
      <c r="G145" s="240">
        <f t="shared" si="19"/>
        <v>0.2368797472036166</v>
      </c>
      <c r="H145" s="134"/>
    </row>
    <row r="146" spans="1:8" ht="15.75">
      <c r="A146" s="141"/>
      <c r="B146" s="142">
        <f>DATE(2011,2,1)</f>
        <v>40575</v>
      </c>
      <c r="C146" s="227">
        <v>873970</v>
      </c>
      <c r="D146" s="227">
        <v>203384.5</v>
      </c>
      <c r="E146" s="227">
        <v>181211</v>
      </c>
      <c r="F146" s="143">
        <f t="shared" si="18"/>
        <v>0.12236288084056707</v>
      </c>
      <c r="G146" s="240">
        <f t="shared" si="19"/>
        <v>0.23271336544732657</v>
      </c>
      <c r="H146" s="134"/>
    </row>
    <row r="147" spans="1:8" ht="15.75">
      <c r="A147" s="141"/>
      <c r="B147" s="142">
        <f>DATE(2011,3,1)</f>
        <v>40603</v>
      </c>
      <c r="C147" s="227">
        <v>1032175</v>
      </c>
      <c r="D147" s="227">
        <v>253957</v>
      </c>
      <c r="E147" s="227">
        <v>264486</v>
      </c>
      <c r="F147" s="143">
        <f t="shared" si="18"/>
        <v>-0.039809290472841666</v>
      </c>
      <c r="G147" s="240">
        <f t="shared" si="19"/>
        <v>0.24604064233293774</v>
      </c>
      <c r="H147" s="134"/>
    </row>
    <row r="148" spans="1:8" ht="15.75">
      <c r="A148" s="141"/>
      <c r="B148" s="142">
        <f>DATE(2011,4,1)</f>
        <v>40634</v>
      </c>
      <c r="C148" s="227">
        <v>880201</v>
      </c>
      <c r="D148" s="227">
        <v>212249</v>
      </c>
      <c r="E148" s="227">
        <v>213266</v>
      </c>
      <c r="F148" s="143">
        <f t="shared" si="18"/>
        <v>-0.004768692618607748</v>
      </c>
      <c r="G148" s="240">
        <f t="shared" si="19"/>
        <v>0.24113696757899616</v>
      </c>
      <c r="H148" s="134"/>
    </row>
    <row r="149" spans="1:8" ht="15.75" thickBot="1">
      <c r="A149" s="144"/>
      <c r="B149" s="145"/>
      <c r="C149" s="227"/>
      <c r="D149" s="227"/>
      <c r="E149" s="227"/>
      <c r="F149" s="143"/>
      <c r="G149" s="240"/>
      <c r="H149" s="134"/>
    </row>
    <row r="150" spans="1:8" ht="17.25" thickBot="1" thickTop="1">
      <c r="A150" s="163" t="s">
        <v>14</v>
      </c>
      <c r="B150" s="164"/>
      <c r="C150" s="232">
        <f>SUM(C139:C149)</f>
        <v>9099419.5</v>
      </c>
      <c r="D150" s="232">
        <f>SUM(D139:D149)</f>
        <v>2178279.5</v>
      </c>
      <c r="E150" s="232">
        <f>SUM(E139:E149)</f>
        <v>2041109</v>
      </c>
      <c r="F150" s="154">
        <f>(+D150-E150)/E150</f>
        <v>0.06720390728765588</v>
      </c>
      <c r="G150" s="242">
        <f>D150/C150</f>
        <v>0.2393866443897877</v>
      </c>
      <c r="H150" s="134"/>
    </row>
    <row r="151" spans="1:8" ht="16.5" thickTop="1">
      <c r="A151" s="159"/>
      <c r="B151" s="156"/>
      <c r="C151" s="230"/>
      <c r="D151" s="230"/>
      <c r="E151" s="230"/>
      <c r="F151" s="157"/>
      <c r="G151" s="243"/>
      <c r="H151" s="134"/>
    </row>
    <row r="152" spans="1:8" ht="15.75">
      <c r="A152" s="141" t="s">
        <v>43</v>
      </c>
      <c r="B152" s="142">
        <f>DATE(2010,7,1)</f>
        <v>40360</v>
      </c>
      <c r="C152" s="227">
        <v>12767178.5</v>
      </c>
      <c r="D152" s="227">
        <v>2557871.5</v>
      </c>
      <c r="E152" s="227">
        <v>2602435.8</v>
      </c>
      <c r="F152" s="143">
        <f aca="true" t="shared" si="20" ref="F152:F161">(+D152-E152)/E152</f>
        <v>-0.0171240727629092</v>
      </c>
      <c r="G152" s="240">
        <f aca="true" t="shared" si="21" ref="G152:G161">D152/C152</f>
        <v>0.20034743776786704</v>
      </c>
      <c r="H152" s="134"/>
    </row>
    <row r="153" spans="1:8" ht="15.75">
      <c r="A153" s="141"/>
      <c r="B153" s="142">
        <f>DATE(2010,8,1)</f>
        <v>40391</v>
      </c>
      <c r="C153" s="227">
        <v>12517029</v>
      </c>
      <c r="D153" s="227">
        <v>2003941.55</v>
      </c>
      <c r="E153" s="227">
        <v>2298326.86</v>
      </c>
      <c r="F153" s="143">
        <f t="shared" si="20"/>
        <v>-0.12808679005735496</v>
      </c>
      <c r="G153" s="240">
        <f t="shared" si="21"/>
        <v>0.1600972203547663</v>
      </c>
      <c r="H153" s="134"/>
    </row>
    <row r="154" spans="1:8" ht="15.75">
      <c r="A154" s="141"/>
      <c r="B154" s="142">
        <f>DATE(2010,9,1)</f>
        <v>40422</v>
      </c>
      <c r="C154" s="227">
        <v>12130763</v>
      </c>
      <c r="D154" s="227">
        <v>1914426.5</v>
      </c>
      <c r="E154" s="227">
        <v>2193207.97</v>
      </c>
      <c r="F154" s="143">
        <f t="shared" si="20"/>
        <v>-0.1271112789180682</v>
      </c>
      <c r="G154" s="240">
        <f t="shared" si="21"/>
        <v>0.1578158356568338</v>
      </c>
      <c r="H154" s="134"/>
    </row>
    <row r="155" spans="1:8" ht="15.75">
      <c r="A155" s="141"/>
      <c r="B155" s="142">
        <f>DATE(2010,10,1)</f>
        <v>40452</v>
      </c>
      <c r="C155" s="227">
        <v>12582677</v>
      </c>
      <c r="D155" s="227">
        <v>2425858.5</v>
      </c>
      <c r="E155" s="227">
        <v>1921122.97</v>
      </c>
      <c r="F155" s="143">
        <f t="shared" si="20"/>
        <v>0.26272942330183063</v>
      </c>
      <c r="G155" s="240">
        <f t="shared" si="21"/>
        <v>0.1927935128589886</v>
      </c>
      <c r="H155" s="134"/>
    </row>
    <row r="156" spans="1:8" ht="15.75">
      <c r="A156" s="141"/>
      <c r="B156" s="142">
        <f>DATE(2010,11,1)</f>
        <v>40483</v>
      </c>
      <c r="C156" s="227">
        <v>11676411</v>
      </c>
      <c r="D156" s="227">
        <v>1774129.5</v>
      </c>
      <c r="E156" s="227">
        <v>2397831.38</v>
      </c>
      <c r="F156" s="143">
        <f t="shared" si="20"/>
        <v>-0.26011081730025565</v>
      </c>
      <c r="G156" s="240">
        <f t="shared" si="21"/>
        <v>0.15194133711120653</v>
      </c>
      <c r="H156" s="134"/>
    </row>
    <row r="157" spans="1:8" ht="15.75">
      <c r="A157" s="141"/>
      <c r="B157" s="142">
        <f>DATE(2010,12,1)</f>
        <v>40513</v>
      </c>
      <c r="C157" s="227">
        <v>12053910</v>
      </c>
      <c r="D157" s="227">
        <v>2625402.5</v>
      </c>
      <c r="E157" s="227">
        <v>2092465.95</v>
      </c>
      <c r="F157" s="143">
        <f t="shared" si="20"/>
        <v>0.2546930572514215</v>
      </c>
      <c r="G157" s="240">
        <f t="shared" si="21"/>
        <v>0.21780505246845214</v>
      </c>
      <c r="H157" s="134"/>
    </row>
    <row r="158" spans="1:8" ht="15.75">
      <c r="A158" s="141"/>
      <c r="B158" s="142">
        <f>DATE(2011,1,1)</f>
        <v>40544</v>
      </c>
      <c r="C158" s="227">
        <v>11104290</v>
      </c>
      <c r="D158" s="227">
        <v>1796154.9</v>
      </c>
      <c r="E158" s="227">
        <v>2449785.95</v>
      </c>
      <c r="F158" s="143">
        <f t="shared" si="20"/>
        <v>-0.266811494285858</v>
      </c>
      <c r="G158" s="240">
        <f t="shared" si="21"/>
        <v>0.16175324131484317</v>
      </c>
      <c r="H158" s="134"/>
    </row>
    <row r="159" spans="1:8" ht="15.75">
      <c r="A159" s="141"/>
      <c r="B159" s="142">
        <f>DATE(2011,2,1)</f>
        <v>40575</v>
      </c>
      <c r="C159" s="227">
        <v>10865581.5</v>
      </c>
      <c r="D159" s="227">
        <v>2503388.5</v>
      </c>
      <c r="E159" s="227">
        <v>2305994.79</v>
      </c>
      <c r="F159" s="143">
        <f t="shared" si="20"/>
        <v>0.08560024110028451</v>
      </c>
      <c r="G159" s="240">
        <f t="shared" si="21"/>
        <v>0.2303961826617379</v>
      </c>
      <c r="H159" s="134"/>
    </row>
    <row r="160" spans="1:8" ht="15.75">
      <c r="A160" s="141"/>
      <c r="B160" s="142">
        <f>DATE(2011,3,1)</f>
        <v>40603</v>
      </c>
      <c r="C160" s="227">
        <v>11885713</v>
      </c>
      <c r="D160" s="227">
        <v>2473461.8</v>
      </c>
      <c r="E160" s="227">
        <v>2356134.58</v>
      </c>
      <c r="F160" s="143">
        <f t="shared" si="20"/>
        <v>0.04979648488500166</v>
      </c>
      <c r="G160" s="240">
        <f t="shared" si="21"/>
        <v>0.20810377972276461</v>
      </c>
      <c r="H160" s="134"/>
    </row>
    <row r="161" spans="1:8" ht="15.75">
      <c r="A161" s="141"/>
      <c r="B161" s="142">
        <f>DATE(2011,4,1)</f>
        <v>40634</v>
      </c>
      <c r="C161" s="227">
        <v>11271395.5</v>
      </c>
      <c r="D161" s="227">
        <v>2313002.2</v>
      </c>
      <c r="E161" s="227">
        <v>2503467.03</v>
      </c>
      <c r="F161" s="143">
        <f t="shared" si="20"/>
        <v>-0.07608042275675571</v>
      </c>
      <c r="G161" s="240">
        <f t="shared" si="21"/>
        <v>0.20520992276422206</v>
      </c>
      <c r="H161" s="134"/>
    </row>
    <row r="162" spans="1:8" ht="15.75" thickBot="1">
      <c r="A162" s="144"/>
      <c r="B162" s="145"/>
      <c r="C162" s="227"/>
      <c r="D162" s="227"/>
      <c r="E162" s="227"/>
      <c r="F162" s="143"/>
      <c r="G162" s="240"/>
      <c r="H162" s="134"/>
    </row>
    <row r="163" spans="1:8" ht="17.25" thickBot="1" thickTop="1">
      <c r="A163" s="152" t="s">
        <v>14</v>
      </c>
      <c r="B163" s="153"/>
      <c r="C163" s="229">
        <f>SUM(C152:C162)</f>
        <v>118854948.5</v>
      </c>
      <c r="D163" s="232">
        <f>SUM(D152:D162)</f>
        <v>22387637.450000003</v>
      </c>
      <c r="E163" s="229">
        <f>SUM(E152:E162)</f>
        <v>23120773.28</v>
      </c>
      <c r="F163" s="154">
        <f>(+D163-E163)/E163</f>
        <v>-0.03170896669940436</v>
      </c>
      <c r="G163" s="242">
        <f>D163/C163</f>
        <v>0.18836100416971704</v>
      </c>
      <c r="H163" s="134"/>
    </row>
    <row r="164" spans="1:8" ht="16.5" thickTop="1">
      <c r="A164" s="159"/>
      <c r="B164" s="156"/>
      <c r="C164" s="230"/>
      <c r="D164" s="230"/>
      <c r="E164" s="230"/>
      <c r="F164" s="157"/>
      <c r="G164" s="243"/>
      <c r="H164" s="134"/>
    </row>
    <row r="165" spans="1:8" ht="15.75">
      <c r="A165" s="141" t="s">
        <v>56</v>
      </c>
      <c r="B165" s="142">
        <f>DATE(2010,7,1)</f>
        <v>40360</v>
      </c>
      <c r="C165" s="227">
        <v>983427</v>
      </c>
      <c r="D165" s="227">
        <v>283502</v>
      </c>
      <c r="E165" s="227">
        <v>255091</v>
      </c>
      <c r="F165" s="143">
        <f aca="true" t="shared" si="22" ref="F165:F174">(+D165-E165)/E165</f>
        <v>0.11137594035069838</v>
      </c>
      <c r="G165" s="240">
        <f aca="true" t="shared" si="23" ref="G165:G174">D165/C165</f>
        <v>0.2882796587850445</v>
      </c>
      <c r="H165" s="134"/>
    </row>
    <row r="166" spans="1:8" ht="15.75">
      <c r="A166" s="141"/>
      <c r="B166" s="142">
        <f>DATE(2010,8,1)</f>
        <v>40391</v>
      </c>
      <c r="C166" s="227">
        <v>1009940</v>
      </c>
      <c r="D166" s="227">
        <v>189770</v>
      </c>
      <c r="E166" s="227">
        <v>258925.5</v>
      </c>
      <c r="F166" s="143">
        <f t="shared" si="22"/>
        <v>-0.26708647854305584</v>
      </c>
      <c r="G166" s="240">
        <f t="shared" si="23"/>
        <v>0.18790225161890806</v>
      </c>
      <c r="H166" s="134"/>
    </row>
    <row r="167" spans="1:8" ht="15.75">
      <c r="A167" s="141"/>
      <c r="B167" s="142">
        <f>DATE(2010,9,1)</f>
        <v>40422</v>
      </c>
      <c r="C167" s="227">
        <v>983861</v>
      </c>
      <c r="D167" s="227">
        <v>165396.5</v>
      </c>
      <c r="E167" s="227">
        <v>214596</v>
      </c>
      <c r="F167" s="143">
        <f t="shared" si="22"/>
        <v>-0.2292656899476225</v>
      </c>
      <c r="G167" s="240">
        <f t="shared" si="23"/>
        <v>0.16810962117616207</v>
      </c>
      <c r="H167" s="134"/>
    </row>
    <row r="168" spans="1:8" ht="15.75">
      <c r="A168" s="141"/>
      <c r="B168" s="142">
        <f>DATE(2010,10,1)</f>
        <v>40452</v>
      </c>
      <c r="C168" s="227">
        <v>1046771</v>
      </c>
      <c r="D168" s="227">
        <v>252805.5</v>
      </c>
      <c r="E168" s="227">
        <v>277074.5</v>
      </c>
      <c r="F168" s="143">
        <f t="shared" si="22"/>
        <v>-0.08759016076903504</v>
      </c>
      <c r="G168" s="240">
        <f t="shared" si="23"/>
        <v>0.2415098431271023</v>
      </c>
      <c r="H168" s="134"/>
    </row>
    <row r="169" spans="1:8" ht="15.75">
      <c r="A169" s="141"/>
      <c r="B169" s="142">
        <f>DATE(2010,11,1)</f>
        <v>40483</v>
      </c>
      <c r="C169" s="227">
        <v>1031234</v>
      </c>
      <c r="D169" s="227">
        <v>240222.5</v>
      </c>
      <c r="E169" s="227">
        <v>209866</v>
      </c>
      <c r="F169" s="143">
        <f t="shared" si="22"/>
        <v>0.1446470605052748</v>
      </c>
      <c r="G169" s="240">
        <f t="shared" si="23"/>
        <v>0.23294664450551475</v>
      </c>
      <c r="H169" s="134"/>
    </row>
    <row r="170" spans="1:8" ht="15.75">
      <c r="A170" s="141"/>
      <c r="B170" s="142">
        <f>DATE(2010,12,1)</f>
        <v>40513</v>
      </c>
      <c r="C170" s="227">
        <v>1116209</v>
      </c>
      <c r="D170" s="227">
        <v>306220.5</v>
      </c>
      <c r="E170" s="227">
        <v>192646</v>
      </c>
      <c r="F170" s="143">
        <f t="shared" si="22"/>
        <v>0.589550263177019</v>
      </c>
      <c r="G170" s="240">
        <f t="shared" si="23"/>
        <v>0.274339751784836</v>
      </c>
      <c r="H170" s="134"/>
    </row>
    <row r="171" spans="1:8" ht="15.75">
      <c r="A171" s="141"/>
      <c r="B171" s="142">
        <f>DATE(2011,1,1)</f>
        <v>40544</v>
      </c>
      <c r="C171" s="227">
        <v>915526</v>
      </c>
      <c r="D171" s="227">
        <v>251908</v>
      </c>
      <c r="E171" s="227">
        <v>263883</v>
      </c>
      <c r="F171" s="143">
        <f t="shared" si="22"/>
        <v>-0.04537996005805603</v>
      </c>
      <c r="G171" s="240">
        <f t="shared" si="23"/>
        <v>0.2751511153151303</v>
      </c>
      <c r="H171" s="134"/>
    </row>
    <row r="172" spans="1:8" ht="15.75">
      <c r="A172" s="141"/>
      <c r="B172" s="142">
        <f>DATE(2011,2,1)</f>
        <v>40575</v>
      </c>
      <c r="C172" s="227">
        <v>1020272</v>
      </c>
      <c r="D172" s="227">
        <v>258586.5</v>
      </c>
      <c r="E172" s="227">
        <v>272278.5</v>
      </c>
      <c r="F172" s="143">
        <f t="shared" si="22"/>
        <v>-0.050286746841928395</v>
      </c>
      <c r="G172" s="240">
        <f t="shared" si="23"/>
        <v>0.2534485901798736</v>
      </c>
      <c r="H172" s="134"/>
    </row>
    <row r="173" spans="1:8" ht="15.75">
      <c r="A173" s="141"/>
      <c r="B173" s="142">
        <f>DATE(2011,3,1)</f>
        <v>40603</v>
      </c>
      <c r="C173" s="227">
        <v>1108354</v>
      </c>
      <c r="D173" s="227">
        <v>300834.5</v>
      </c>
      <c r="E173" s="227">
        <v>207847.5</v>
      </c>
      <c r="F173" s="143">
        <f t="shared" si="22"/>
        <v>0.4473808922407053</v>
      </c>
      <c r="G173" s="240">
        <f t="shared" si="23"/>
        <v>0.2714245629104059</v>
      </c>
      <c r="H173" s="134"/>
    </row>
    <row r="174" spans="1:8" ht="15.75">
      <c r="A174" s="141"/>
      <c r="B174" s="142">
        <f>DATE(2011,4,1)</f>
        <v>40634</v>
      </c>
      <c r="C174" s="227">
        <v>1049676</v>
      </c>
      <c r="D174" s="227">
        <v>270923.5</v>
      </c>
      <c r="E174" s="227">
        <v>186602.5</v>
      </c>
      <c r="F174" s="143">
        <f t="shared" si="22"/>
        <v>0.45187497487975775</v>
      </c>
      <c r="G174" s="240">
        <f t="shared" si="23"/>
        <v>0.2581020238626014</v>
      </c>
      <c r="H174" s="134"/>
    </row>
    <row r="175" spans="1:8" ht="15.75" thickBot="1">
      <c r="A175" s="144"/>
      <c r="B175" s="145"/>
      <c r="C175" s="227"/>
      <c r="D175" s="227"/>
      <c r="E175" s="227"/>
      <c r="F175" s="143"/>
      <c r="G175" s="240"/>
      <c r="H175" s="134"/>
    </row>
    <row r="176" spans="1:8" ht="17.25" thickBot="1" thickTop="1">
      <c r="A176" s="146" t="s">
        <v>14</v>
      </c>
      <c r="B176" s="147"/>
      <c r="C176" s="224">
        <f>SUM(C165:C175)</f>
        <v>10265270</v>
      </c>
      <c r="D176" s="232">
        <f>SUM(D165:D175)</f>
        <v>2520169.5</v>
      </c>
      <c r="E176" s="232">
        <f>SUM(E165:E175)</f>
        <v>2338810.5</v>
      </c>
      <c r="F176" s="148">
        <f>(+D176-E176)/E176</f>
        <v>0.0775432639797025</v>
      </c>
      <c r="G176" s="237">
        <f>D176/C176</f>
        <v>0.24550445336557147</v>
      </c>
      <c r="H176" s="134"/>
    </row>
    <row r="177" spans="1:8" ht="16.5" thickBot="1" thickTop="1">
      <c r="A177" s="165"/>
      <c r="B177" s="150"/>
      <c r="C177" s="228"/>
      <c r="D177" s="228"/>
      <c r="E177" s="228"/>
      <c r="F177" s="151"/>
      <c r="G177" s="241"/>
      <c r="H177" s="134"/>
    </row>
    <row r="178" spans="1:8" ht="17.25" thickBot="1" thickTop="1">
      <c r="A178" s="166" t="s">
        <v>44</v>
      </c>
      <c r="B178" s="132"/>
      <c r="C178" s="224">
        <f>C176+C163+C137+C111+C85+C72+C46+C20+C59+C150+C33+C98+C124</f>
        <v>831282381.3399999</v>
      </c>
      <c r="D178" s="224">
        <f>D176+D163+D137+D111+D85+D72+D46+D20+D59+D150+D33+D98+D124</f>
        <v>174086906.97</v>
      </c>
      <c r="E178" s="224">
        <f>E176+E163+E137+E111+E85+E72+E46+E20+E59+E150+E33+E98+E124</f>
        <v>168138213.94</v>
      </c>
      <c r="F178" s="148">
        <f>(+D178-E178)/E178</f>
        <v>0.03537978006667056</v>
      </c>
      <c r="G178" s="237">
        <f>D178/C178</f>
        <v>0.20941970006555127</v>
      </c>
      <c r="H178" s="134"/>
    </row>
    <row r="179" spans="1:8" ht="17.25" thickBot="1" thickTop="1">
      <c r="A179" s="166"/>
      <c r="B179" s="132"/>
      <c r="C179" s="224"/>
      <c r="D179" s="224"/>
      <c r="E179" s="224"/>
      <c r="F179" s="148"/>
      <c r="G179" s="237"/>
      <c r="H179" s="134"/>
    </row>
    <row r="180" spans="1:8" ht="17.25" thickBot="1" thickTop="1">
      <c r="A180" s="294" t="s">
        <v>45</v>
      </c>
      <c r="B180" s="295"/>
      <c r="C180" s="229">
        <f>+C18+C31+C44+C57+C70+C83+C96+C109+C122+C135+C148+C161+C174</f>
        <v>89156750.19</v>
      </c>
      <c r="D180" s="229">
        <f>+D18+D31+D44+D57+D70+D83+D96+D109+D122+D135+D148+D161+D174</f>
        <v>18770824.44</v>
      </c>
      <c r="E180" s="229">
        <f>+E18+E31+E44+E57+E70+E83+E96+E109+E122+E135+E148+E161+E174</f>
        <v>18061003.97</v>
      </c>
      <c r="F180" s="154">
        <f>(+D180-E180)/E180</f>
        <v>0.03930127423586423</v>
      </c>
      <c r="G180" s="242">
        <f>D180/C180</f>
        <v>0.2105373334043458</v>
      </c>
      <c r="H180" s="134"/>
    </row>
    <row r="181" spans="1:8" ht="16.5" thickTop="1">
      <c r="A181" s="283"/>
      <c r="B181" s="285"/>
      <c r="C181" s="286"/>
      <c r="D181" s="286"/>
      <c r="E181" s="286"/>
      <c r="F181" s="287"/>
      <c r="G181" s="284"/>
      <c r="H181" s="284"/>
    </row>
    <row r="182" spans="1:8" ht="15.75">
      <c r="A182" s="283" t="s">
        <v>70</v>
      </c>
      <c r="B182" s="285"/>
      <c r="C182" s="286"/>
      <c r="D182" s="286"/>
      <c r="E182" s="286"/>
      <c r="F182" s="287"/>
      <c r="G182" s="284"/>
      <c r="H182" s="284"/>
    </row>
    <row r="183" spans="1:8" ht="15.75">
      <c r="A183" s="303" t="s">
        <v>69</v>
      </c>
      <c r="C183" s="286"/>
      <c r="D183" s="286"/>
      <c r="E183" s="286"/>
      <c r="F183" s="287"/>
      <c r="G183" s="284"/>
      <c r="H183" s="284"/>
    </row>
    <row r="184" spans="1:8" ht="15.75">
      <c r="A184" s="283" t="s">
        <v>66</v>
      </c>
      <c r="B184" s="285"/>
      <c r="C184" s="286"/>
      <c r="D184" s="286"/>
      <c r="E184" s="286"/>
      <c r="F184" s="287"/>
      <c r="G184" s="284"/>
      <c r="H184" s="284"/>
    </row>
    <row r="185" spans="1:7" ht="18.75">
      <c r="A185" s="292" t="s">
        <v>46</v>
      </c>
      <c r="B185" s="127"/>
      <c r="C185" s="233"/>
      <c r="D185" s="233"/>
      <c r="E185" s="233"/>
      <c r="F185" s="167"/>
      <c r="G185" s="245"/>
    </row>
    <row r="186" ht="15.75">
      <c r="A186" s="81"/>
    </row>
  </sheetData>
  <printOptions horizontalCentered="1"/>
  <pageMargins left="0.7" right="0.25" top="0.319444444444444" bottom="0.2" header="0.5" footer="0.5"/>
  <pageSetup horizontalDpi="600" verticalDpi="600" orientation="landscape" scale="60" r:id="rId1"/>
  <rowBreaks count="3" manualBreakCount="3">
    <brk id="59" max="7" man="1"/>
    <brk id="111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showOutlineSymbols="0" zoomScale="87" zoomScaleNormal="87" workbookViewId="0" topLeftCell="A1">
      <selection activeCell="A4" sqref="A4"/>
    </sheetView>
  </sheetViews>
  <sheetFormatPr defaultColWidth="8.88671875" defaultRowHeight="15"/>
  <cols>
    <col min="1" max="1" width="27.6640625" style="171" customWidth="1"/>
    <col min="2" max="2" width="9.6640625" style="171" customWidth="1"/>
    <col min="3" max="3" width="18.3359375" style="259" customWidth="1"/>
    <col min="4" max="4" width="16.4453125" style="259" customWidth="1"/>
    <col min="5" max="5" width="15.5546875" style="259" customWidth="1"/>
    <col min="6" max="6" width="9.6640625" style="171" customWidth="1"/>
    <col min="7" max="7" width="9.6640625" style="279" customWidth="1"/>
    <col min="8" max="8" width="10.88671875" style="279" customWidth="1"/>
    <col min="9" max="9" width="1.66796875" style="171" customWidth="1"/>
    <col min="10" max="16384" width="9.6640625" style="171" customWidth="1"/>
  </cols>
  <sheetData>
    <row r="1" spans="1:9" ht="18">
      <c r="A1" s="168" t="s">
        <v>0</v>
      </c>
      <c r="B1" s="169"/>
      <c r="C1" s="247"/>
      <c r="D1" s="247"/>
      <c r="E1" s="247"/>
      <c r="F1" s="169"/>
      <c r="G1" s="260"/>
      <c r="H1" s="260"/>
      <c r="I1" s="170"/>
    </row>
    <row r="2" spans="1:9" ht="18.75">
      <c r="A2" s="172" t="s">
        <v>47</v>
      </c>
      <c r="B2" s="169"/>
      <c r="C2" s="247"/>
      <c r="D2" s="247"/>
      <c r="E2" s="247"/>
      <c r="F2" s="169"/>
      <c r="G2" s="260"/>
      <c r="H2" s="260"/>
      <c r="I2" s="170"/>
    </row>
    <row r="3" spans="1:9" ht="18">
      <c r="A3" s="168" t="s">
        <v>48</v>
      </c>
      <c r="B3" s="169"/>
      <c r="C3" s="247"/>
      <c r="D3" s="247"/>
      <c r="E3" s="247"/>
      <c r="F3" s="169"/>
      <c r="G3" s="260"/>
      <c r="H3" s="260"/>
      <c r="I3" s="170"/>
    </row>
    <row r="4" spans="1:9" ht="18">
      <c r="A4" s="168" t="s">
        <v>76</v>
      </c>
      <c r="B4" s="169"/>
      <c r="C4" s="247"/>
      <c r="D4" s="247"/>
      <c r="E4" s="247"/>
      <c r="F4" s="169"/>
      <c r="G4" s="260"/>
      <c r="H4" s="260"/>
      <c r="I4" s="170"/>
    </row>
    <row r="5" spans="1:9" ht="15">
      <c r="A5" s="173" t="s">
        <v>72</v>
      </c>
      <c r="B5" s="169"/>
      <c r="C5" s="247"/>
      <c r="D5" s="247"/>
      <c r="E5" s="247"/>
      <c r="F5" s="169"/>
      <c r="G5" s="260"/>
      <c r="H5" s="260"/>
      <c r="I5" s="170"/>
    </row>
    <row r="6" spans="1:9" ht="16.5" thickBot="1">
      <c r="A6" s="169"/>
      <c r="B6" s="169"/>
      <c r="C6" s="247"/>
      <c r="D6" s="247"/>
      <c r="E6" s="247"/>
      <c r="F6" s="169"/>
      <c r="G6" s="261" t="s">
        <v>49</v>
      </c>
      <c r="H6" s="261"/>
      <c r="I6" s="170"/>
    </row>
    <row r="7" spans="1:9" ht="16.5" thickTop="1">
      <c r="A7" s="174"/>
      <c r="B7" s="175" t="s">
        <v>2</v>
      </c>
      <c r="C7" s="248" t="s">
        <v>50</v>
      </c>
      <c r="D7" s="248" t="s">
        <v>35</v>
      </c>
      <c r="E7" s="248" t="s">
        <v>3</v>
      </c>
      <c r="F7" s="176"/>
      <c r="G7" s="262" t="s">
        <v>36</v>
      </c>
      <c r="H7" s="280" t="s">
        <v>36</v>
      </c>
      <c r="I7" s="177"/>
    </row>
    <row r="8" spans="1:9" ht="16.5" thickBot="1">
      <c r="A8" s="178" t="s">
        <v>5</v>
      </c>
      <c r="B8" s="179" t="s">
        <v>6</v>
      </c>
      <c r="C8" s="249" t="s">
        <v>51</v>
      </c>
      <c r="D8" s="249" t="s">
        <v>52</v>
      </c>
      <c r="E8" s="249" t="s">
        <v>52</v>
      </c>
      <c r="F8" s="180" t="s">
        <v>8</v>
      </c>
      <c r="G8" s="264" t="s">
        <v>39</v>
      </c>
      <c r="H8" s="281" t="s">
        <v>53</v>
      </c>
      <c r="I8" s="177"/>
    </row>
    <row r="9" spans="1:9" ht="16.5" thickTop="1">
      <c r="A9" s="181"/>
      <c r="B9" s="182"/>
      <c r="C9" s="250"/>
      <c r="D9" s="250"/>
      <c r="E9" s="250"/>
      <c r="F9" s="183"/>
      <c r="G9" s="265"/>
      <c r="H9" s="266"/>
      <c r="I9" s="177"/>
    </row>
    <row r="10" spans="1:9" ht="15.75">
      <c r="A10" s="184" t="s">
        <v>40</v>
      </c>
      <c r="B10" s="185">
        <f>DATE(10,7,1)</f>
        <v>3835</v>
      </c>
      <c r="C10" s="251">
        <v>161580153.41</v>
      </c>
      <c r="D10" s="251">
        <v>15205967.11</v>
      </c>
      <c r="E10" s="251">
        <v>15485361.87</v>
      </c>
      <c r="F10" s="186">
        <f aca="true" t="shared" si="0" ref="F10:F19">(+D10-E10)/E10</f>
        <v>-0.018042507649838977</v>
      </c>
      <c r="G10" s="267">
        <f aca="true" t="shared" si="1" ref="G10:G19">D10/C10</f>
        <v>0.0941078888037429</v>
      </c>
      <c r="H10" s="268">
        <f aca="true" t="shared" si="2" ref="H10:H19">1-G10</f>
        <v>0.9058921111962571</v>
      </c>
      <c r="I10" s="177"/>
    </row>
    <row r="11" spans="1:9" ht="15.75">
      <c r="A11" s="184"/>
      <c r="B11" s="185">
        <f>DATE(10,8,1)</f>
        <v>3866</v>
      </c>
      <c r="C11" s="251">
        <v>152053414.88</v>
      </c>
      <c r="D11" s="251">
        <v>14248352.51</v>
      </c>
      <c r="E11" s="251">
        <v>15159250.8</v>
      </c>
      <c r="F11" s="186">
        <f t="shared" si="0"/>
        <v>-0.060088608732563546</v>
      </c>
      <c r="G11" s="267">
        <f t="shared" si="1"/>
        <v>0.09370623159792069</v>
      </c>
      <c r="H11" s="268">
        <f t="shared" si="2"/>
        <v>0.9062937684020793</v>
      </c>
      <c r="I11" s="177"/>
    </row>
    <row r="12" spans="1:9" ht="15.75">
      <c r="A12" s="184"/>
      <c r="B12" s="185">
        <f>DATE(10,9,1)</f>
        <v>3897</v>
      </c>
      <c r="C12" s="251">
        <v>152265518.18</v>
      </c>
      <c r="D12" s="251">
        <v>14122939.7</v>
      </c>
      <c r="E12" s="251">
        <v>14202313.25</v>
      </c>
      <c r="F12" s="186">
        <f t="shared" si="0"/>
        <v>-0.005588776180528249</v>
      </c>
      <c r="G12" s="267">
        <f t="shared" si="1"/>
        <v>0.09275205488943747</v>
      </c>
      <c r="H12" s="268">
        <f t="shared" si="2"/>
        <v>0.9072479451105625</v>
      </c>
      <c r="I12" s="177"/>
    </row>
    <row r="13" spans="1:9" ht="15.75">
      <c r="A13" s="184"/>
      <c r="B13" s="185">
        <f>DATE(10,10,1)</f>
        <v>3927</v>
      </c>
      <c r="C13" s="251">
        <v>158105255.39</v>
      </c>
      <c r="D13" s="251">
        <v>14499368.24</v>
      </c>
      <c r="E13" s="251">
        <v>14960478.24</v>
      </c>
      <c r="F13" s="186">
        <f t="shared" si="0"/>
        <v>-0.030821875651483182</v>
      </c>
      <c r="G13" s="267">
        <f t="shared" si="1"/>
        <v>0.091707060617525</v>
      </c>
      <c r="H13" s="268">
        <f t="shared" si="2"/>
        <v>0.908292939382475</v>
      </c>
      <c r="I13" s="177"/>
    </row>
    <row r="14" spans="1:9" ht="15.75">
      <c r="A14" s="184"/>
      <c r="B14" s="185">
        <f>DATE(10,11,1)</f>
        <v>3958</v>
      </c>
      <c r="C14" s="251">
        <v>148516351.61</v>
      </c>
      <c r="D14" s="251">
        <v>13529659.56</v>
      </c>
      <c r="E14" s="251">
        <v>14103535.57</v>
      </c>
      <c r="F14" s="186">
        <f t="shared" si="0"/>
        <v>-0.04069022318210098</v>
      </c>
      <c r="G14" s="267">
        <f t="shared" si="1"/>
        <v>0.09109878752966223</v>
      </c>
      <c r="H14" s="268">
        <f t="shared" si="2"/>
        <v>0.9089012124703377</v>
      </c>
      <c r="I14" s="177"/>
    </row>
    <row r="15" spans="1:9" ht="15.75">
      <c r="A15" s="184"/>
      <c r="B15" s="185">
        <f>DATE(10,12,1)</f>
        <v>3988</v>
      </c>
      <c r="C15" s="251">
        <v>155962340.19</v>
      </c>
      <c r="D15" s="251">
        <v>14821930.97</v>
      </c>
      <c r="E15" s="251">
        <v>13545659.48</v>
      </c>
      <c r="F15" s="186">
        <f t="shared" si="0"/>
        <v>0.09421995967670672</v>
      </c>
      <c r="G15" s="267">
        <f t="shared" si="1"/>
        <v>0.09503532039813772</v>
      </c>
      <c r="H15" s="268">
        <f t="shared" si="2"/>
        <v>0.9049646796018622</v>
      </c>
      <c r="I15" s="177"/>
    </row>
    <row r="16" spans="1:9" ht="15.75">
      <c r="A16" s="184"/>
      <c r="B16" s="185">
        <f>DATE(11,1,1)</f>
        <v>4019</v>
      </c>
      <c r="C16" s="251">
        <v>145070387</v>
      </c>
      <c r="D16" s="251">
        <v>13213623.06</v>
      </c>
      <c r="E16" s="251">
        <v>14213264.4</v>
      </c>
      <c r="F16" s="186">
        <f t="shared" si="0"/>
        <v>-0.07033157984452888</v>
      </c>
      <c r="G16" s="267">
        <f t="shared" si="1"/>
        <v>0.09108422010344537</v>
      </c>
      <c r="H16" s="268">
        <f t="shared" si="2"/>
        <v>0.9089157798965546</v>
      </c>
      <c r="I16" s="177"/>
    </row>
    <row r="17" spans="1:9" ht="15.75">
      <c r="A17" s="184"/>
      <c r="B17" s="185">
        <f>DATE(11,2,1)</f>
        <v>4050</v>
      </c>
      <c r="C17" s="251">
        <v>155047358.38</v>
      </c>
      <c r="D17" s="251">
        <v>14566691.16</v>
      </c>
      <c r="E17" s="251">
        <v>14587425.31</v>
      </c>
      <c r="F17" s="186">
        <f t="shared" si="0"/>
        <v>-0.0014213714592791545</v>
      </c>
      <c r="G17" s="267">
        <f t="shared" si="1"/>
        <v>0.09394994737220237</v>
      </c>
      <c r="H17" s="268">
        <f t="shared" si="2"/>
        <v>0.9060500526277976</v>
      </c>
      <c r="I17" s="177"/>
    </row>
    <row r="18" spans="1:9" ht="15.75">
      <c r="A18" s="184"/>
      <c r="B18" s="185">
        <f>DATE(11,3,1)</f>
        <v>4078</v>
      </c>
      <c r="C18" s="251">
        <v>171532967.1</v>
      </c>
      <c r="D18" s="251">
        <v>16141305.07</v>
      </c>
      <c r="E18" s="251">
        <v>15034407.4</v>
      </c>
      <c r="F18" s="186">
        <f t="shared" si="0"/>
        <v>0.0736242966250868</v>
      </c>
      <c r="G18" s="267">
        <f t="shared" si="1"/>
        <v>0.09410030819667435</v>
      </c>
      <c r="H18" s="268">
        <f t="shared" si="2"/>
        <v>0.9058996918033256</v>
      </c>
      <c r="I18" s="177"/>
    </row>
    <row r="19" spans="1:9" ht="15.75">
      <c r="A19" s="184"/>
      <c r="B19" s="185">
        <f>DATE(11,4,1)</f>
        <v>4109</v>
      </c>
      <c r="C19" s="251">
        <v>164057327.03</v>
      </c>
      <c r="D19" s="251">
        <v>15675381.35</v>
      </c>
      <c r="E19" s="251">
        <v>15103880.12</v>
      </c>
      <c r="F19" s="186">
        <f t="shared" si="0"/>
        <v>0.03783804065309282</v>
      </c>
      <c r="G19" s="267">
        <f t="shared" si="1"/>
        <v>0.09554819424269635</v>
      </c>
      <c r="H19" s="268">
        <f t="shared" si="2"/>
        <v>0.9044518057573037</v>
      </c>
      <c r="I19" s="177"/>
    </row>
    <row r="20" spans="1:9" ht="15.75" thickBot="1">
      <c r="A20" s="187"/>
      <c r="B20" s="188"/>
      <c r="C20" s="251"/>
      <c r="D20" s="251"/>
      <c r="E20" s="251"/>
      <c r="F20" s="186"/>
      <c r="G20" s="267"/>
      <c r="H20" s="268"/>
      <c r="I20" s="177"/>
    </row>
    <row r="21" spans="1:9" ht="17.25" thickBot="1" thickTop="1">
      <c r="A21" s="189" t="s">
        <v>14</v>
      </c>
      <c r="B21" s="175"/>
      <c r="C21" s="248">
        <f>SUM(C10:C20)</f>
        <v>1564191073.1699998</v>
      </c>
      <c r="D21" s="248">
        <f>SUM(D10:D20)</f>
        <v>146025218.73</v>
      </c>
      <c r="E21" s="248">
        <f>SUM(E10:E20)</f>
        <v>146395576.44000003</v>
      </c>
      <c r="F21" s="190">
        <f>(+D21-E21)/E21</f>
        <v>-0.0025298422193229904</v>
      </c>
      <c r="G21" s="262">
        <f>D21/C21</f>
        <v>0.09335510298883393</v>
      </c>
      <c r="H21" s="263">
        <f>1-G21</f>
        <v>0.906644897011166</v>
      </c>
      <c r="I21" s="177"/>
    </row>
    <row r="22" spans="1:9" ht="15.75" thickTop="1">
      <c r="A22" s="191"/>
      <c r="B22" s="192"/>
      <c r="C22" s="252"/>
      <c r="D22" s="252"/>
      <c r="E22" s="252"/>
      <c r="F22" s="193"/>
      <c r="G22" s="269"/>
      <c r="H22" s="270"/>
      <c r="I22" s="177"/>
    </row>
    <row r="23" spans="1:9" ht="15.75">
      <c r="A23" s="20" t="s">
        <v>54</v>
      </c>
      <c r="B23" s="185">
        <f>DATE(10,7,1)</f>
        <v>3835</v>
      </c>
      <c r="C23" s="251">
        <v>81450774.96</v>
      </c>
      <c r="D23" s="251">
        <v>7057528.09</v>
      </c>
      <c r="E23" s="251">
        <v>6900070.08</v>
      </c>
      <c r="F23" s="186">
        <f aca="true" t="shared" si="3" ref="F23:F32">(+D23-E23)/E23</f>
        <v>0.022819769679788496</v>
      </c>
      <c r="G23" s="267">
        <f aca="true" t="shared" si="4" ref="G23:G32">D23/C23</f>
        <v>0.086647770920116</v>
      </c>
      <c r="H23" s="268">
        <f aca="true" t="shared" si="5" ref="H23:H32">1-G23</f>
        <v>0.913352229079884</v>
      </c>
      <c r="I23" s="177"/>
    </row>
    <row r="24" spans="1:9" ht="15.75">
      <c r="A24" s="20"/>
      <c r="B24" s="185">
        <f>DATE(10,8,1)</f>
        <v>3866</v>
      </c>
      <c r="C24" s="251">
        <v>80991353.2</v>
      </c>
      <c r="D24" s="251">
        <v>6357488.27</v>
      </c>
      <c r="E24" s="251">
        <v>6606703.59</v>
      </c>
      <c r="F24" s="186">
        <f t="shared" si="3"/>
        <v>-0.03772158332897152</v>
      </c>
      <c r="G24" s="267">
        <f t="shared" si="4"/>
        <v>0.07849588899077685</v>
      </c>
      <c r="H24" s="268">
        <f t="shared" si="5"/>
        <v>0.9215041110092231</v>
      </c>
      <c r="I24" s="177"/>
    </row>
    <row r="25" spans="1:9" ht="15.75">
      <c r="A25" s="20"/>
      <c r="B25" s="185">
        <f>DATE(10,9,1)</f>
        <v>3897</v>
      </c>
      <c r="C25" s="251">
        <v>76211109.13</v>
      </c>
      <c r="D25" s="251">
        <v>6421690.91</v>
      </c>
      <c r="E25" s="251">
        <v>6042942.84</v>
      </c>
      <c r="F25" s="186">
        <f t="shared" si="3"/>
        <v>0.06267609673435208</v>
      </c>
      <c r="G25" s="267">
        <f t="shared" si="4"/>
        <v>0.08426187446040126</v>
      </c>
      <c r="H25" s="268">
        <f t="shared" si="5"/>
        <v>0.9157381255395988</v>
      </c>
      <c r="I25" s="177"/>
    </row>
    <row r="26" spans="1:9" ht="15.75">
      <c r="A26" s="20"/>
      <c r="B26" s="185">
        <f>DATE(10,10,1)</f>
        <v>3927</v>
      </c>
      <c r="C26" s="251">
        <v>81294375.31</v>
      </c>
      <c r="D26" s="251">
        <v>6866939.17</v>
      </c>
      <c r="E26" s="251">
        <v>6629623.73</v>
      </c>
      <c r="F26" s="186">
        <f t="shared" si="3"/>
        <v>0.035796215541783014</v>
      </c>
      <c r="G26" s="267">
        <f t="shared" si="4"/>
        <v>0.08447004044024309</v>
      </c>
      <c r="H26" s="268">
        <f t="shared" si="5"/>
        <v>0.9155299595597569</v>
      </c>
      <c r="I26" s="177"/>
    </row>
    <row r="27" spans="1:9" ht="15.75">
      <c r="A27" s="20"/>
      <c r="B27" s="185">
        <f>DATE(10,11,1)</f>
        <v>3958</v>
      </c>
      <c r="C27" s="251">
        <v>75164100.17</v>
      </c>
      <c r="D27" s="251">
        <v>6171400.77</v>
      </c>
      <c r="E27" s="251">
        <v>5943441.83</v>
      </c>
      <c r="F27" s="186">
        <f t="shared" si="3"/>
        <v>0.03835470195894884</v>
      </c>
      <c r="G27" s="267">
        <f t="shared" si="4"/>
        <v>0.08210569615071599</v>
      </c>
      <c r="H27" s="268">
        <f t="shared" si="5"/>
        <v>0.917894303849284</v>
      </c>
      <c r="I27" s="177"/>
    </row>
    <row r="28" spans="1:9" ht="15.75">
      <c r="A28" s="20"/>
      <c r="B28" s="185">
        <f>DATE(10,12,1)</f>
        <v>3988</v>
      </c>
      <c r="C28" s="251">
        <v>70095789.2</v>
      </c>
      <c r="D28" s="251">
        <v>5757378.49</v>
      </c>
      <c r="E28" s="251">
        <v>5255280.17</v>
      </c>
      <c r="F28" s="186">
        <f t="shared" si="3"/>
        <v>0.09554168450737428</v>
      </c>
      <c r="G28" s="267">
        <f t="shared" si="4"/>
        <v>0.08213586801302467</v>
      </c>
      <c r="H28" s="268">
        <f t="shared" si="5"/>
        <v>0.9178641319869754</v>
      </c>
      <c r="I28" s="177"/>
    </row>
    <row r="29" spans="1:9" ht="15.75">
      <c r="A29" s="20"/>
      <c r="B29" s="185">
        <f>DATE(11,1,1)</f>
        <v>4019</v>
      </c>
      <c r="C29" s="251">
        <v>68393301.4</v>
      </c>
      <c r="D29" s="251">
        <v>5595585.67</v>
      </c>
      <c r="E29" s="251">
        <v>5670599.46</v>
      </c>
      <c r="F29" s="186">
        <f t="shared" si="3"/>
        <v>-0.013228546739924395</v>
      </c>
      <c r="G29" s="267">
        <f t="shared" si="4"/>
        <v>0.08181482039116772</v>
      </c>
      <c r="H29" s="268">
        <f t="shared" si="5"/>
        <v>0.9181851796088323</v>
      </c>
      <c r="I29" s="177"/>
    </row>
    <row r="30" spans="1:9" ht="15.75">
      <c r="A30" s="20"/>
      <c r="B30" s="185">
        <f>DATE(11,2,1)</f>
        <v>4050</v>
      </c>
      <c r="C30" s="251">
        <v>73887457.5</v>
      </c>
      <c r="D30" s="251">
        <v>6106278.63</v>
      </c>
      <c r="E30" s="251">
        <v>6193882.02</v>
      </c>
      <c r="F30" s="186">
        <f t="shared" si="3"/>
        <v>-0.01414353546243357</v>
      </c>
      <c r="G30" s="267">
        <f t="shared" si="4"/>
        <v>0.0826429658917415</v>
      </c>
      <c r="H30" s="268">
        <f t="shared" si="5"/>
        <v>0.9173570341082585</v>
      </c>
      <c r="I30" s="177"/>
    </row>
    <row r="31" spans="1:9" ht="15.75">
      <c r="A31" s="20"/>
      <c r="B31" s="185">
        <f>DATE(11,3,1)</f>
        <v>4078</v>
      </c>
      <c r="C31" s="251">
        <v>79906308.26</v>
      </c>
      <c r="D31" s="251">
        <v>6794953.84</v>
      </c>
      <c r="E31" s="251">
        <v>6472037.07</v>
      </c>
      <c r="F31" s="186">
        <f t="shared" si="3"/>
        <v>0.04989414716068669</v>
      </c>
      <c r="G31" s="267">
        <f t="shared" si="4"/>
        <v>0.0850365132361078</v>
      </c>
      <c r="H31" s="268">
        <f t="shared" si="5"/>
        <v>0.9149634867638922</v>
      </c>
      <c r="I31" s="177"/>
    </row>
    <row r="32" spans="1:9" ht="15.75">
      <c r="A32" s="20"/>
      <c r="B32" s="185">
        <f>DATE(11,4,1)</f>
        <v>4109</v>
      </c>
      <c r="C32" s="251">
        <v>78707118.28</v>
      </c>
      <c r="D32" s="251">
        <v>6508774.26</v>
      </c>
      <c r="E32" s="251">
        <v>6214402.2</v>
      </c>
      <c r="F32" s="186">
        <f t="shared" si="3"/>
        <v>0.04736932862182618</v>
      </c>
      <c r="G32" s="267">
        <f t="shared" si="4"/>
        <v>0.08269613222078698</v>
      </c>
      <c r="H32" s="268">
        <f t="shared" si="5"/>
        <v>0.917303867779213</v>
      </c>
      <c r="I32" s="177"/>
    </row>
    <row r="33" spans="1:9" ht="15.75" thickBot="1">
      <c r="A33" s="187"/>
      <c r="B33" s="185"/>
      <c r="C33" s="251"/>
      <c r="D33" s="251"/>
      <c r="E33" s="251"/>
      <c r="F33" s="186"/>
      <c r="G33" s="267"/>
      <c r="H33" s="268"/>
      <c r="I33" s="177"/>
    </row>
    <row r="34" spans="1:9" ht="17.25" thickBot="1" thickTop="1">
      <c r="A34" s="189" t="s">
        <v>14</v>
      </c>
      <c r="B34" s="175"/>
      <c r="C34" s="248">
        <f>SUM(C23:C33)</f>
        <v>766101687.41</v>
      </c>
      <c r="D34" s="248">
        <f>SUM(D23:D33)</f>
        <v>63638018.1</v>
      </c>
      <c r="E34" s="248">
        <f>SUM(E23:E33)</f>
        <v>61928982.99</v>
      </c>
      <c r="F34" s="190">
        <f>(+D34-E34)/E34</f>
        <v>0.02759669265481021</v>
      </c>
      <c r="G34" s="262">
        <f>D34/C34</f>
        <v>0.08306732532484608</v>
      </c>
      <c r="H34" s="263">
        <f>1-G34</f>
        <v>0.9169326746751539</v>
      </c>
      <c r="I34" s="177"/>
    </row>
    <row r="35" spans="1:9" ht="15.75" thickTop="1">
      <c r="A35" s="191"/>
      <c r="B35" s="192"/>
      <c r="C35" s="252"/>
      <c r="D35" s="252"/>
      <c r="E35" s="252"/>
      <c r="F35" s="193"/>
      <c r="G35" s="269"/>
      <c r="H35" s="270"/>
      <c r="I35" s="177"/>
    </row>
    <row r="36" spans="1:9" ht="15.75">
      <c r="A36" s="20" t="s">
        <v>60</v>
      </c>
      <c r="B36" s="185">
        <f>DATE(10,7,1)</f>
        <v>3835</v>
      </c>
      <c r="C36" s="251">
        <v>28839029</v>
      </c>
      <c r="D36" s="251">
        <v>2850989.29</v>
      </c>
      <c r="E36" s="251">
        <v>2575496.75</v>
      </c>
      <c r="F36" s="186">
        <f aca="true" t="shared" si="6" ref="F36:F45">(+D36-E36)/E36</f>
        <v>0.10696675893689248</v>
      </c>
      <c r="G36" s="267">
        <f aca="true" t="shared" si="7" ref="G36:G45">D36/C36</f>
        <v>0.0988587129615217</v>
      </c>
      <c r="H36" s="268">
        <f aca="true" t="shared" si="8" ref="H36:H45">1-G36</f>
        <v>0.9011412870384783</v>
      </c>
      <c r="I36" s="177"/>
    </row>
    <row r="37" spans="1:9" ht="15.75">
      <c r="A37" s="20"/>
      <c r="B37" s="185">
        <f>DATE(10,8,1)</f>
        <v>3866</v>
      </c>
      <c r="C37" s="251">
        <v>24954417.35</v>
      </c>
      <c r="D37" s="251">
        <v>2557961.5</v>
      </c>
      <c r="E37" s="251">
        <v>2431385.09</v>
      </c>
      <c r="F37" s="186">
        <f t="shared" si="6"/>
        <v>0.05205938397853717</v>
      </c>
      <c r="G37" s="267">
        <f t="shared" si="7"/>
        <v>0.10250535863543213</v>
      </c>
      <c r="H37" s="268">
        <f t="shared" si="8"/>
        <v>0.8974946413645679</v>
      </c>
      <c r="I37" s="177"/>
    </row>
    <row r="38" spans="1:9" ht="15.75">
      <c r="A38" s="20"/>
      <c r="B38" s="185">
        <f>DATE(10,9,1)</f>
        <v>3897</v>
      </c>
      <c r="C38" s="251">
        <v>25261726.05</v>
      </c>
      <c r="D38" s="251">
        <v>2574424.67</v>
      </c>
      <c r="E38" s="251">
        <v>2349926.28</v>
      </c>
      <c r="F38" s="186">
        <f t="shared" si="6"/>
        <v>0.09553422671625263</v>
      </c>
      <c r="G38" s="267">
        <f t="shared" si="7"/>
        <v>0.10191008583120946</v>
      </c>
      <c r="H38" s="268">
        <f t="shared" si="8"/>
        <v>0.8980899141687906</v>
      </c>
      <c r="I38" s="177"/>
    </row>
    <row r="39" spans="1:9" ht="15.75">
      <c r="A39" s="20"/>
      <c r="B39" s="185">
        <f>DATE(10,10,1)</f>
        <v>3927</v>
      </c>
      <c r="C39" s="251">
        <v>25077170.46</v>
      </c>
      <c r="D39" s="251">
        <v>2583750.13</v>
      </c>
      <c r="E39" s="251">
        <v>2368172.25</v>
      </c>
      <c r="F39" s="186">
        <f t="shared" si="6"/>
        <v>0.09103133439723393</v>
      </c>
      <c r="G39" s="267">
        <f t="shared" si="7"/>
        <v>0.10303196423700506</v>
      </c>
      <c r="H39" s="268">
        <f t="shared" si="8"/>
        <v>0.896968035762995</v>
      </c>
      <c r="I39" s="177"/>
    </row>
    <row r="40" spans="1:9" ht="15.75">
      <c r="A40" s="20"/>
      <c r="B40" s="185">
        <f>DATE(10,11,1)</f>
        <v>3958</v>
      </c>
      <c r="C40" s="251">
        <v>22000086.19</v>
      </c>
      <c r="D40" s="251">
        <v>2303738.27</v>
      </c>
      <c r="E40" s="251">
        <v>2281973.05</v>
      </c>
      <c r="F40" s="186">
        <f t="shared" si="6"/>
        <v>0.009537895287589047</v>
      </c>
      <c r="G40" s="267">
        <f t="shared" si="7"/>
        <v>0.10471496566441406</v>
      </c>
      <c r="H40" s="268">
        <f t="shared" si="8"/>
        <v>0.8952850343355859</v>
      </c>
      <c r="I40" s="177"/>
    </row>
    <row r="41" spans="1:9" ht="15.75">
      <c r="A41" s="20"/>
      <c r="B41" s="185">
        <f>DATE(10,12,1)</f>
        <v>3988</v>
      </c>
      <c r="C41" s="251">
        <v>22927195.43</v>
      </c>
      <c r="D41" s="251">
        <v>2277749.86</v>
      </c>
      <c r="E41" s="251">
        <v>2180370.25</v>
      </c>
      <c r="F41" s="186">
        <f t="shared" si="6"/>
        <v>0.04466196050877133</v>
      </c>
      <c r="G41" s="267">
        <f t="shared" si="7"/>
        <v>0.0993470774458348</v>
      </c>
      <c r="H41" s="268">
        <f t="shared" si="8"/>
        <v>0.9006529225541652</v>
      </c>
      <c r="I41" s="177"/>
    </row>
    <row r="42" spans="1:9" ht="15.75">
      <c r="A42" s="20"/>
      <c r="B42" s="185">
        <f>DATE(11,1,1)</f>
        <v>4019</v>
      </c>
      <c r="C42" s="251">
        <v>23330155.73</v>
      </c>
      <c r="D42" s="251">
        <v>2302212.53</v>
      </c>
      <c r="E42" s="251">
        <v>2113545.8</v>
      </c>
      <c r="F42" s="186">
        <f t="shared" si="6"/>
        <v>0.08926550349654122</v>
      </c>
      <c r="G42" s="267">
        <f t="shared" si="7"/>
        <v>0.09867968978190785</v>
      </c>
      <c r="H42" s="268">
        <f t="shared" si="8"/>
        <v>0.9013203102180921</v>
      </c>
      <c r="I42" s="177"/>
    </row>
    <row r="43" spans="1:9" ht="15.75">
      <c r="A43" s="20"/>
      <c r="B43" s="185">
        <f>DATE(11,2,1)</f>
        <v>4050</v>
      </c>
      <c r="C43" s="251">
        <v>25609527.32</v>
      </c>
      <c r="D43" s="251">
        <v>2817541.21</v>
      </c>
      <c r="E43" s="251">
        <v>2821703.19</v>
      </c>
      <c r="F43" s="186">
        <f t="shared" si="6"/>
        <v>-0.0014749885865919092</v>
      </c>
      <c r="G43" s="267">
        <f t="shared" si="7"/>
        <v>0.11001925864518455</v>
      </c>
      <c r="H43" s="268">
        <f t="shared" si="8"/>
        <v>0.8899807413548154</v>
      </c>
      <c r="I43" s="177"/>
    </row>
    <row r="44" spans="1:9" ht="15.75">
      <c r="A44" s="20"/>
      <c r="B44" s="185">
        <f>DATE(11,3,1)</f>
        <v>4078</v>
      </c>
      <c r="C44" s="251">
        <v>25928447.23</v>
      </c>
      <c r="D44" s="251">
        <v>2799731.51</v>
      </c>
      <c r="E44" s="251">
        <v>2657931.26</v>
      </c>
      <c r="F44" s="186">
        <f t="shared" si="6"/>
        <v>0.05334985600793905</v>
      </c>
      <c r="G44" s="267">
        <f t="shared" si="7"/>
        <v>0.10797914295309692</v>
      </c>
      <c r="H44" s="268">
        <f t="shared" si="8"/>
        <v>0.892020857046903</v>
      </c>
      <c r="I44" s="177"/>
    </row>
    <row r="45" spans="1:9" ht="15.75">
      <c r="A45" s="20"/>
      <c r="B45" s="185">
        <f>DATE(11,4,1)</f>
        <v>4109</v>
      </c>
      <c r="C45" s="251">
        <v>22626590.21</v>
      </c>
      <c r="D45" s="251">
        <v>2484296.46</v>
      </c>
      <c r="E45" s="251">
        <v>2443393.08</v>
      </c>
      <c r="F45" s="186">
        <f t="shared" si="6"/>
        <v>0.01674040101644222</v>
      </c>
      <c r="G45" s="267">
        <f t="shared" si="7"/>
        <v>0.10979544142281082</v>
      </c>
      <c r="H45" s="268">
        <f t="shared" si="8"/>
        <v>0.8902045585771892</v>
      </c>
      <c r="I45" s="177"/>
    </row>
    <row r="46" spans="1:9" ht="15.75" thickBot="1">
      <c r="A46" s="187"/>
      <c r="B46" s="185"/>
      <c r="C46" s="251"/>
      <c r="D46" s="251"/>
      <c r="E46" s="251"/>
      <c r="F46" s="186"/>
      <c r="G46" s="267"/>
      <c r="H46" s="268"/>
      <c r="I46" s="177"/>
    </row>
    <row r="47" spans="1:9" ht="17.25" thickBot="1" thickTop="1">
      <c r="A47" s="194" t="s">
        <v>14</v>
      </c>
      <c r="B47" s="195"/>
      <c r="C47" s="253">
        <f>SUM(C36:C46)</f>
        <v>246554344.97</v>
      </c>
      <c r="D47" s="253">
        <f>SUM(D36:D46)</f>
        <v>25552395.43</v>
      </c>
      <c r="E47" s="253">
        <f>SUM(E36:E46)</f>
        <v>24223897</v>
      </c>
      <c r="F47" s="196">
        <f>(+D47-E47)/E47</f>
        <v>0.0548424735293417</v>
      </c>
      <c r="G47" s="271">
        <f>D47/C47</f>
        <v>0.10363798469302636</v>
      </c>
      <c r="H47" s="272">
        <f>1-G47</f>
        <v>0.8963620153069737</v>
      </c>
      <c r="I47" s="177"/>
    </row>
    <row r="48" spans="1:9" ht="15.75" thickTop="1">
      <c r="A48" s="197"/>
      <c r="B48" s="198"/>
      <c r="C48" s="254"/>
      <c r="D48" s="254"/>
      <c r="E48" s="254"/>
      <c r="F48" s="199"/>
      <c r="G48" s="273"/>
      <c r="H48" s="268"/>
      <c r="I48" s="177"/>
    </row>
    <row r="49" spans="1:9" ht="15.75">
      <c r="A49" s="200" t="s">
        <v>41</v>
      </c>
      <c r="B49" s="185">
        <f>DATE(10,7,1)</f>
        <v>3835</v>
      </c>
      <c r="C49" s="251">
        <v>244744828.04</v>
      </c>
      <c r="D49" s="251">
        <v>22090550.23</v>
      </c>
      <c r="E49" s="251">
        <v>23489138.41</v>
      </c>
      <c r="F49" s="186">
        <f aca="true" t="shared" si="9" ref="F49:F58">(+D49-E49)/E49</f>
        <v>-0.05954191063068454</v>
      </c>
      <c r="G49" s="267">
        <f aca="true" t="shared" si="10" ref="G49:G58">D49/C49</f>
        <v>0.09025951807402288</v>
      </c>
      <c r="H49" s="268">
        <f aca="true" t="shared" si="11" ref="H49:H58">1-G49</f>
        <v>0.9097404819259771</v>
      </c>
      <c r="I49" s="177"/>
    </row>
    <row r="50" spans="1:9" ht="15.75">
      <c r="A50" s="200"/>
      <c r="B50" s="185">
        <f>DATE(10,8,1)</f>
        <v>3866</v>
      </c>
      <c r="C50" s="251">
        <v>224956679.59</v>
      </c>
      <c r="D50" s="251">
        <v>19927779.59</v>
      </c>
      <c r="E50" s="251">
        <v>23480634.16</v>
      </c>
      <c r="F50" s="186">
        <f t="shared" si="9"/>
        <v>-0.1513099921318309</v>
      </c>
      <c r="G50" s="267">
        <f t="shared" si="10"/>
        <v>0.08858496500890677</v>
      </c>
      <c r="H50" s="268">
        <f t="shared" si="11"/>
        <v>0.9114150349910932</v>
      </c>
      <c r="I50" s="177"/>
    </row>
    <row r="51" spans="1:9" ht="15.75">
      <c r="A51" s="200"/>
      <c r="B51" s="185">
        <f>DATE(10,9,1)</f>
        <v>3897</v>
      </c>
      <c r="C51" s="251">
        <v>220651999.3</v>
      </c>
      <c r="D51" s="251">
        <v>19914648.15</v>
      </c>
      <c r="E51" s="251">
        <v>22016363.54</v>
      </c>
      <c r="F51" s="186">
        <f t="shared" si="9"/>
        <v>-0.09546151371372208</v>
      </c>
      <c r="G51" s="267">
        <f t="shared" si="10"/>
        <v>0.09025364924486319</v>
      </c>
      <c r="H51" s="268">
        <f t="shared" si="11"/>
        <v>0.9097463507551368</v>
      </c>
      <c r="I51" s="177"/>
    </row>
    <row r="52" spans="1:9" ht="15.75">
      <c r="A52" s="200"/>
      <c r="B52" s="185">
        <f>DATE(10,10,1)</f>
        <v>3927</v>
      </c>
      <c r="C52" s="251">
        <v>220566422.18</v>
      </c>
      <c r="D52" s="251">
        <v>19882258.58</v>
      </c>
      <c r="E52" s="251">
        <v>22260515.99</v>
      </c>
      <c r="F52" s="186">
        <f t="shared" si="9"/>
        <v>-0.10683747901748437</v>
      </c>
      <c r="G52" s="267">
        <f t="shared" si="10"/>
        <v>0.09014181933719027</v>
      </c>
      <c r="H52" s="268">
        <f t="shared" si="11"/>
        <v>0.9098581806628098</v>
      </c>
      <c r="I52" s="177"/>
    </row>
    <row r="53" spans="1:9" ht="15.75">
      <c r="A53" s="200"/>
      <c r="B53" s="185">
        <f>DATE(10,11,1)</f>
        <v>3958</v>
      </c>
      <c r="C53" s="251">
        <v>203044455.48</v>
      </c>
      <c r="D53" s="251">
        <v>18279670.04</v>
      </c>
      <c r="E53" s="251">
        <v>20529925.14</v>
      </c>
      <c r="F53" s="186">
        <f t="shared" si="9"/>
        <v>-0.10960853898174523</v>
      </c>
      <c r="G53" s="267">
        <f t="shared" si="10"/>
        <v>0.09002792022459613</v>
      </c>
      <c r="H53" s="268">
        <f t="shared" si="11"/>
        <v>0.9099720797754038</v>
      </c>
      <c r="I53" s="177"/>
    </row>
    <row r="54" spans="1:9" ht="15.75">
      <c r="A54" s="200"/>
      <c r="B54" s="185">
        <f>DATE(10,12,1)</f>
        <v>3988</v>
      </c>
      <c r="C54" s="251">
        <v>204863631.68</v>
      </c>
      <c r="D54" s="251">
        <v>17954206.94</v>
      </c>
      <c r="E54" s="251">
        <v>19904531.56</v>
      </c>
      <c r="F54" s="186">
        <f t="shared" si="9"/>
        <v>-0.09798394974134209</v>
      </c>
      <c r="G54" s="267">
        <f t="shared" si="10"/>
        <v>0.08763979625258589</v>
      </c>
      <c r="H54" s="268">
        <f t="shared" si="11"/>
        <v>0.9123602037474141</v>
      </c>
      <c r="I54" s="177"/>
    </row>
    <row r="55" spans="1:9" ht="15.75">
      <c r="A55" s="200"/>
      <c r="B55" s="185">
        <f>DATE(11,1,1)</f>
        <v>4019</v>
      </c>
      <c r="C55" s="251">
        <v>200984702.6</v>
      </c>
      <c r="D55" s="251">
        <v>17440373.22</v>
      </c>
      <c r="E55" s="251">
        <v>20320235.1</v>
      </c>
      <c r="F55" s="186">
        <f t="shared" si="9"/>
        <v>-0.14172384649230768</v>
      </c>
      <c r="G55" s="267">
        <f t="shared" si="10"/>
        <v>0.08677463008072735</v>
      </c>
      <c r="H55" s="268">
        <f t="shared" si="11"/>
        <v>0.9132253699192726</v>
      </c>
      <c r="I55" s="177"/>
    </row>
    <row r="56" spans="1:9" ht="15.75">
      <c r="A56" s="200"/>
      <c r="B56" s="185">
        <f>DATE(11,2,1)</f>
        <v>4050</v>
      </c>
      <c r="C56" s="251">
        <v>204829812.53</v>
      </c>
      <c r="D56" s="251">
        <v>18731077.16</v>
      </c>
      <c r="E56" s="251">
        <v>20686135.17</v>
      </c>
      <c r="F56" s="186">
        <f t="shared" si="9"/>
        <v>-0.09451054988924745</v>
      </c>
      <c r="G56" s="267">
        <f t="shared" si="10"/>
        <v>0.09144702584374327</v>
      </c>
      <c r="H56" s="268">
        <f t="shared" si="11"/>
        <v>0.9085529741562567</v>
      </c>
      <c r="I56" s="177"/>
    </row>
    <row r="57" spans="1:9" ht="15.75">
      <c r="A57" s="200"/>
      <c r="B57" s="185">
        <f>DATE(11,3,1)</f>
        <v>4078</v>
      </c>
      <c r="C57" s="251">
        <v>223181683.38</v>
      </c>
      <c r="D57" s="251">
        <v>20298068.95</v>
      </c>
      <c r="E57" s="251">
        <v>20730204.55</v>
      </c>
      <c r="F57" s="186">
        <f t="shared" si="9"/>
        <v>-0.020845698794612302</v>
      </c>
      <c r="G57" s="267">
        <f t="shared" si="10"/>
        <v>0.09094863271301488</v>
      </c>
      <c r="H57" s="268">
        <f t="shared" si="11"/>
        <v>0.9090513672869851</v>
      </c>
      <c r="I57" s="177"/>
    </row>
    <row r="58" spans="1:9" ht="15.75">
      <c r="A58" s="200"/>
      <c r="B58" s="185">
        <f>DATE(11,4,1)</f>
        <v>4109</v>
      </c>
      <c r="C58" s="251">
        <v>222339321.98</v>
      </c>
      <c r="D58" s="251">
        <v>20378282.84</v>
      </c>
      <c r="E58" s="251">
        <v>20517318.85</v>
      </c>
      <c r="F58" s="186">
        <f t="shared" si="9"/>
        <v>-0.006776519437870003</v>
      </c>
      <c r="G58" s="267">
        <f t="shared" si="10"/>
        <v>0.09165397581734588</v>
      </c>
      <c r="H58" s="268">
        <f t="shared" si="11"/>
        <v>0.9083460241826541</v>
      </c>
      <c r="I58" s="177"/>
    </row>
    <row r="59" spans="1:9" ht="15.75" thickBot="1">
      <c r="A59" s="187"/>
      <c r="B59" s="188"/>
      <c r="C59" s="251"/>
      <c r="D59" s="251"/>
      <c r="E59" s="251"/>
      <c r="F59" s="186"/>
      <c r="G59" s="267"/>
      <c r="H59" s="268"/>
      <c r="I59" s="177"/>
    </row>
    <row r="60" spans="1:9" ht="17.25" thickBot="1" thickTop="1">
      <c r="A60" s="194" t="s">
        <v>14</v>
      </c>
      <c r="B60" s="201"/>
      <c r="C60" s="253">
        <f>SUM(C49:C59)</f>
        <v>2170163536.76</v>
      </c>
      <c r="D60" s="253">
        <f>SUM(D49:D59)</f>
        <v>194896915.7</v>
      </c>
      <c r="E60" s="253">
        <f>SUM(E49:E59)</f>
        <v>213935002.47</v>
      </c>
      <c r="F60" s="196">
        <f>(+D60-E60)/E60</f>
        <v>-0.08899005095096447</v>
      </c>
      <c r="G60" s="271">
        <f>D60/C60</f>
        <v>0.08980747874465543</v>
      </c>
      <c r="H60" s="272">
        <f>1-G60</f>
        <v>0.9101925212553446</v>
      </c>
      <c r="I60" s="177"/>
    </row>
    <row r="61" spans="1:9" ht="15.75" thickTop="1">
      <c r="A61" s="197"/>
      <c r="B61" s="198"/>
      <c r="C61" s="254"/>
      <c r="D61" s="254"/>
      <c r="E61" s="254"/>
      <c r="F61" s="199"/>
      <c r="G61" s="273"/>
      <c r="H61" s="268"/>
      <c r="I61" s="177"/>
    </row>
    <row r="62" spans="1:9" ht="15.75">
      <c r="A62" s="184" t="s">
        <v>17</v>
      </c>
      <c r="B62" s="185">
        <f>DATE(10,7,1)</f>
        <v>3835</v>
      </c>
      <c r="C62" s="251">
        <v>163065693.51</v>
      </c>
      <c r="D62" s="251">
        <v>14927115.89</v>
      </c>
      <c r="E62" s="251">
        <v>13955836.16</v>
      </c>
      <c r="F62" s="186">
        <f aca="true" t="shared" si="12" ref="F62:F71">(+D62-E62)/E62</f>
        <v>0.06959667044414489</v>
      </c>
      <c r="G62" s="267">
        <f aca="true" t="shared" si="13" ref="G62:G71">D62/C62</f>
        <v>0.09154050474194068</v>
      </c>
      <c r="H62" s="268">
        <f aca="true" t="shared" si="14" ref="H62:H71">1-G62</f>
        <v>0.9084594952580594</v>
      </c>
      <c r="I62" s="177"/>
    </row>
    <row r="63" spans="1:9" ht="15.75">
      <c r="A63" s="184"/>
      <c r="B63" s="185">
        <f>DATE(10,8,1)</f>
        <v>3866</v>
      </c>
      <c r="C63" s="251">
        <v>153495183.48</v>
      </c>
      <c r="D63" s="251">
        <v>13793938.51</v>
      </c>
      <c r="E63" s="251">
        <v>14074685.18</v>
      </c>
      <c r="F63" s="186">
        <f t="shared" si="12"/>
        <v>-0.01994692360145564</v>
      </c>
      <c r="G63" s="267">
        <f t="shared" si="13"/>
        <v>0.0898656113974893</v>
      </c>
      <c r="H63" s="268">
        <f t="shared" si="14"/>
        <v>0.9101343886025107</v>
      </c>
      <c r="I63" s="177"/>
    </row>
    <row r="64" spans="1:9" ht="15.75">
      <c r="A64" s="184"/>
      <c r="B64" s="185">
        <f>DATE(10,9,1)</f>
        <v>3897</v>
      </c>
      <c r="C64" s="251">
        <v>147138340.61</v>
      </c>
      <c r="D64" s="251">
        <v>13365444.61</v>
      </c>
      <c r="E64" s="251">
        <v>12758881.94</v>
      </c>
      <c r="F64" s="186">
        <f t="shared" si="12"/>
        <v>0.04754042500372881</v>
      </c>
      <c r="G64" s="267">
        <f t="shared" si="13"/>
        <v>0.09083590690631752</v>
      </c>
      <c r="H64" s="268">
        <f t="shared" si="14"/>
        <v>0.9091640930936825</v>
      </c>
      <c r="I64" s="177"/>
    </row>
    <row r="65" spans="1:9" ht="15.75">
      <c r="A65" s="184"/>
      <c r="B65" s="185">
        <f>DATE(10,10,1)</f>
        <v>3927</v>
      </c>
      <c r="C65" s="251">
        <v>155191394.47</v>
      </c>
      <c r="D65" s="251">
        <v>14430099</v>
      </c>
      <c r="E65" s="251">
        <v>14878372.49</v>
      </c>
      <c r="F65" s="186">
        <f t="shared" si="12"/>
        <v>-0.03012920198773705</v>
      </c>
      <c r="G65" s="267">
        <f t="shared" si="13"/>
        <v>0.09298259770962673</v>
      </c>
      <c r="H65" s="268">
        <f t="shared" si="14"/>
        <v>0.9070174022903733</v>
      </c>
      <c r="I65" s="177"/>
    </row>
    <row r="66" spans="1:9" ht="15.75">
      <c r="A66" s="184"/>
      <c r="B66" s="185">
        <f>DATE(10,11,1)</f>
        <v>3958</v>
      </c>
      <c r="C66" s="251">
        <v>140145097.26</v>
      </c>
      <c r="D66" s="251">
        <v>13325478.5</v>
      </c>
      <c r="E66" s="251">
        <v>12768848.64</v>
      </c>
      <c r="F66" s="186">
        <f t="shared" si="12"/>
        <v>0.043592799608908155</v>
      </c>
      <c r="G66" s="267">
        <f t="shared" si="13"/>
        <v>0.09508344394865491</v>
      </c>
      <c r="H66" s="268">
        <f t="shared" si="14"/>
        <v>0.9049165560513451</v>
      </c>
      <c r="I66" s="177"/>
    </row>
    <row r="67" spans="1:9" ht="15.75">
      <c r="A67" s="184"/>
      <c r="B67" s="185">
        <f>DATE(10,12,1)</f>
        <v>3988</v>
      </c>
      <c r="C67" s="251">
        <v>142503551.17</v>
      </c>
      <c r="D67" s="251">
        <v>13471160.65</v>
      </c>
      <c r="E67" s="251">
        <v>12281230.6</v>
      </c>
      <c r="F67" s="186">
        <f t="shared" si="12"/>
        <v>0.09689013167784674</v>
      </c>
      <c r="G67" s="267">
        <f t="shared" si="13"/>
        <v>0.09453210491526308</v>
      </c>
      <c r="H67" s="268">
        <f t="shared" si="14"/>
        <v>0.9054678950847369</v>
      </c>
      <c r="I67" s="177"/>
    </row>
    <row r="68" spans="1:9" ht="15.75">
      <c r="A68" s="184"/>
      <c r="B68" s="185">
        <f>DATE(11,1,1)</f>
        <v>4019</v>
      </c>
      <c r="C68" s="251">
        <v>132560090.8</v>
      </c>
      <c r="D68" s="251">
        <v>12355892.32</v>
      </c>
      <c r="E68" s="251">
        <v>12913625.8</v>
      </c>
      <c r="F68" s="186">
        <f t="shared" si="12"/>
        <v>-0.04318953395722527</v>
      </c>
      <c r="G68" s="267">
        <f t="shared" si="13"/>
        <v>0.09320974544776037</v>
      </c>
      <c r="H68" s="268">
        <f t="shared" si="14"/>
        <v>0.9067902545522396</v>
      </c>
      <c r="I68" s="177"/>
    </row>
    <row r="69" spans="1:9" ht="15.75">
      <c r="A69" s="184"/>
      <c r="B69" s="185">
        <f>DATE(11,2,1)</f>
        <v>4050</v>
      </c>
      <c r="C69" s="251">
        <v>132440431.48</v>
      </c>
      <c r="D69" s="251">
        <v>12791816.41</v>
      </c>
      <c r="E69" s="251">
        <v>14590846.35</v>
      </c>
      <c r="F69" s="186">
        <f t="shared" si="12"/>
        <v>-0.12329853230206893</v>
      </c>
      <c r="G69" s="267">
        <f t="shared" si="13"/>
        <v>0.09658543291541381</v>
      </c>
      <c r="H69" s="268">
        <f t="shared" si="14"/>
        <v>0.9034145670845862</v>
      </c>
      <c r="I69" s="177"/>
    </row>
    <row r="70" spans="1:9" ht="15.75">
      <c r="A70" s="184"/>
      <c r="B70" s="185">
        <f>DATE(11,3,1)</f>
        <v>4078</v>
      </c>
      <c r="C70" s="251">
        <v>155853587.24</v>
      </c>
      <c r="D70" s="251">
        <v>14602014.86</v>
      </c>
      <c r="E70" s="251">
        <v>15327802.94</v>
      </c>
      <c r="F70" s="186">
        <f t="shared" si="12"/>
        <v>-0.04735108370332429</v>
      </c>
      <c r="G70" s="267">
        <f t="shared" si="13"/>
        <v>0.0936905920395291</v>
      </c>
      <c r="H70" s="268">
        <f t="shared" si="14"/>
        <v>0.9063094079604709</v>
      </c>
      <c r="I70" s="177"/>
    </row>
    <row r="71" spans="1:9" ht="15.75">
      <c r="A71" s="184"/>
      <c r="B71" s="185">
        <f>DATE(11,4,1)</f>
        <v>4109</v>
      </c>
      <c r="C71" s="251">
        <v>157926618.36</v>
      </c>
      <c r="D71" s="251">
        <v>14909275.16</v>
      </c>
      <c r="E71" s="251">
        <v>15013493.76</v>
      </c>
      <c r="F71" s="186">
        <f t="shared" si="12"/>
        <v>-0.006941662058545368</v>
      </c>
      <c r="G71" s="267">
        <f t="shared" si="13"/>
        <v>0.09440634716823806</v>
      </c>
      <c r="H71" s="268">
        <f t="shared" si="14"/>
        <v>0.905593652831762</v>
      </c>
      <c r="I71" s="177"/>
    </row>
    <row r="72" spans="1:9" ht="15.75" thickBot="1">
      <c r="A72" s="187"/>
      <c r="B72" s="185"/>
      <c r="C72" s="251"/>
      <c r="D72" s="251"/>
      <c r="E72" s="251"/>
      <c r="F72" s="186"/>
      <c r="G72" s="267"/>
      <c r="H72" s="268"/>
      <c r="I72" s="177"/>
    </row>
    <row r="73" spans="1:9" ht="17.25" thickBot="1" thickTop="1">
      <c r="A73" s="194" t="s">
        <v>14</v>
      </c>
      <c r="B73" s="195"/>
      <c r="C73" s="253">
        <f>SUM(C62:C72)</f>
        <v>1480319988.38</v>
      </c>
      <c r="D73" s="256">
        <f>SUM(D62:D72)</f>
        <v>137972235.91</v>
      </c>
      <c r="E73" s="301">
        <f>SUM(E62:E72)</f>
        <v>138563623.85999998</v>
      </c>
      <c r="F73" s="302">
        <f>(+D73-E73)/E73</f>
        <v>-0.004267988477246428</v>
      </c>
      <c r="G73" s="276">
        <f>D73/C73</f>
        <v>0.09320433216671688</v>
      </c>
      <c r="H73" s="299">
        <f>1-G73</f>
        <v>0.9067956678332831</v>
      </c>
      <c r="I73" s="177"/>
    </row>
    <row r="74" spans="1:9" ht="15.75" thickTop="1">
      <c r="A74" s="197"/>
      <c r="B74" s="198"/>
      <c r="C74" s="254"/>
      <c r="D74" s="254"/>
      <c r="E74" s="254"/>
      <c r="F74" s="199"/>
      <c r="G74" s="273"/>
      <c r="H74" s="268"/>
      <c r="I74" s="177"/>
    </row>
    <row r="75" spans="1:9" ht="15.75">
      <c r="A75" s="184" t="s">
        <v>18</v>
      </c>
      <c r="B75" s="185">
        <f>DATE(10,7,1)</f>
        <v>3835</v>
      </c>
      <c r="C75" s="251">
        <v>70820654.92</v>
      </c>
      <c r="D75" s="251">
        <v>6706512.07</v>
      </c>
      <c r="E75" s="251">
        <v>6484406.42</v>
      </c>
      <c r="F75" s="186">
        <f aca="true" t="shared" si="15" ref="F75:F84">(+D75-E75)/E75</f>
        <v>0.0342522716211857</v>
      </c>
      <c r="G75" s="267">
        <f aca="true" t="shared" si="16" ref="G75:G84">D75/C75</f>
        <v>0.09469712017738002</v>
      </c>
      <c r="H75" s="268">
        <f aca="true" t="shared" si="17" ref="H75:H84">1-G75</f>
        <v>0.9053028798226199</v>
      </c>
      <c r="I75" s="177"/>
    </row>
    <row r="76" spans="1:9" ht="15.75">
      <c r="A76" s="184"/>
      <c r="B76" s="185">
        <f>DATE(10,8,1)</f>
        <v>3866</v>
      </c>
      <c r="C76" s="251">
        <v>68789573.93</v>
      </c>
      <c r="D76" s="251">
        <v>6475877.77</v>
      </c>
      <c r="E76" s="251">
        <v>6270123.77</v>
      </c>
      <c r="F76" s="186">
        <f t="shared" si="15"/>
        <v>0.03281498221525538</v>
      </c>
      <c r="G76" s="267">
        <f t="shared" si="16"/>
        <v>0.09414039657506568</v>
      </c>
      <c r="H76" s="268">
        <f t="shared" si="17"/>
        <v>0.9058596034249343</v>
      </c>
      <c r="I76" s="177"/>
    </row>
    <row r="77" spans="1:9" ht="15.75">
      <c r="A77" s="184"/>
      <c r="B77" s="185">
        <f>DATE(10,9,1)</f>
        <v>3897</v>
      </c>
      <c r="C77" s="251">
        <v>66745384.45</v>
      </c>
      <c r="D77" s="251">
        <v>6307633.44</v>
      </c>
      <c r="E77" s="251">
        <v>6417793.22</v>
      </c>
      <c r="F77" s="186">
        <f t="shared" si="15"/>
        <v>-0.017164744363639583</v>
      </c>
      <c r="G77" s="267">
        <f t="shared" si="16"/>
        <v>0.09450291569936414</v>
      </c>
      <c r="H77" s="268">
        <f t="shared" si="17"/>
        <v>0.9054970843006358</v>
      </c>
      <c r="I77" s="177"/>
    </row>
    <row r="78" spans="1:9" ht="15.75">
      <c r="A78" s="184"/>
      <c r="B78" s="185">
        <f>DATE(10,10,1)</f>
        <v>3927</v>
      </c>
      <c r="C78" s="251">
        <v>69001390.21</v>
      </c>
      <c r="D78" s="251">
        <v>6535222.38</v>
      </c>
      <c r="E78" s="251">
        <v>6221658.47</v>
      </c>
      <c r="F78" s="186">
        <f t="shared" si="15"/>
        <v>0.05039876610263375</v>
      </c>
      <c r="G78" s="267">
        <f t="shared" si="16"/>
        <v>0.09471145958234456</v>
      </c>
      <c r="H78" s="268">
        <f t="shared" si="17"/>
        <v>0.9052885404176554</v>
      </c>
      <c r="I78" s="177"/>
    </row>
    <row r="79" spans="1:9" ht="15.75">
      <c r="A79" s="184"/>
      <c r="B79" s="185">
        <f>DATE(10,11,1)</f>
        <v>3958</v>
      </c>
      <c r="C79" s="251">
        <v>62570951.67</v>
      </c>
      <c r="D79" s="251">
        <v>5840674.52</v>
      </c>
      <c r="E79" s="251">
        <v>5594432.59</v>
      </c>
      <c r="F79" s="186">
        <f t="shared" si="15"/>
        <v>0.04401553259219801</v>
      </c>
      <c r="G79" s="267">
        <f t="shared" si="16"/>
        <v>0.09334482478073518</v>
      </c>
      <c r="H79" s="268">
        <f t="shared" si="17"/>
        <v>0.9066551752192649</v>
      </c>
      <c r="I79" s="177"/>
    </row>
    <row r="80" spans="1:9" ht="15.75">
      <c r="A80" s="184"/>
      <c r="B80" s="185">
        <f>DATE(10,12,1)</f>
        <v>3988</v>
      </c>
      <c r="C80" s="251">
        <v>64696306.27</v>
      </c>
      <c r="D80" s="251">
        <v>6213753.3</v>
      </c>
      <c r="E80" s="251">
        <v>5624316.31</v>
      </c>
      <c r="F80" s="186">
        <f t="shared" si="15"/>
        <v>0.10480153631330885</v>
      </c>
      <c r="G80" s="267">
        <f t="shared" si="16"/>
        <v>0.09604494689492571</v>
      </c>
      <c r="H80" s="268">
        <f t="shared" si="17"/>
        <v>0.9039550531050743</v>
      </c>
      <c r="I80" s="177"/>
    </row>
    <row r="81" spans="1:9" ht="15.75">
      <c r="A81" s="184"/>
      <c r="B81" s="185">
        <f>DATE(11,1,1)</f>
        <v>4019</v>
      </c>
      <c r="C81" s="251">
        <v>61683717.08</v>
      </c>
      <c r="D81" s="251">
        <v>5664336.11</v>
      </c>
      <c r="E81" s="251">
        <v>5554344.3</v>
      </c>
      <c r="F81" s="186">
        <f t="shared" si="15"/>
        <v>0.01980284333472099</v>
      </c>
      <c r="G81" s="267">
        <f t="shared" si="16"/>
        <v>0.09182870906845163</v>
      </c>
      <c r="H81" s="268">
        <f t="shared" si="17"/>
        <v>0.9081712909315484</v>
      </c>
      <c r="I81" s="177"/>
    </row>
    <row r="82" spans="1:9" ht="15.75">
      <c r="A82" s="184"/>
      <c r="B82" s="185">
        <f>DATE(11,2,1)</f>
        <v>4050</v>
      </c>
      <c r="C82" s="251">
        <v>69813964.92</v>
      </c>
      <c r="D82" s="251">
        <v>6707816.71</v>
      </c>
      <c r="E82" s="251">
        <v>6672512.1</v>
      </c>
      <c r="F82" s="186">
        <f t="shared" si="15"/>
        <v>0.005291052226042473</v>
      </c>
      <c r="G82" s="267">
        <f t="shared" si="16"/>
        <v>0.09608130289815947</v>
      </c>
      <c r="H82" s="268">
        <f t="shared" si="17"/>
        <v>0.9039186971018405</v>
      </c>
      <c r="I82" s="177"/>
    </row>
    <row r="83" spans="1:9" ht="15.75">
      <c r="A83" s="184"/>
      <c r="B83" s="185">
        <f>DATE(11,3,1)</f>
        <v>4078</v>
      </c>
      <c r="C83" s="251">
        <v>76585864.59</v>
      </c>
      <c r="D83" s="251">
        <v>7311862.62</v>
      </c>
      <c r="E83" s="251">
        <v>6688722.38</v>
      </c>
      <c r="F83" s="186">
        <f t="shared" si="15"/>
        <v>0.093162820131877</v>
      </c>
      <c r="G83" s="267">
        <f t="shared" si="16"/>
        <v>0.09547274368636856</v>
      </c>
      <c r="H83" s="268">
        <f t="shared" si="17"/>
        <v>0.9045272563136314</v>
      </c>
      <c r="I83" s="177"/>
    </row>
    <row r="84" spans="1:9" ht="15.75">
      <c r="A84" s="184"/>
      <c r="B84" s="185">
        <f>DATE(11,4,1)</f>
        <v>4109</v>
      </c>
      <c r="C84" s="251">
        <v>69188692.13</v>
      </c>
      <c r="D84" s="251">
        <v>6798941.85</v>
      </c>
      <c r="E84" s="251">
        <v>6329566.51</v>
      </c>
      <c r="F84" s="186">
        <f t="shared" si="15"/>
        <v>0.07415600092967502</v>
      </c>
      <c r="G84" s="267">
        <f t="shared" si="16"/>
        <v>0.0982666623792416</v>
      </c>
      <c r="H84" s="268">
        <f t="shared" si="17"/>
        <v>0.9017333376207584</v>
      </c>
      <c r="I84" s="177"/>
    </row>
    <row r="85" spans="1:9" ht="15.75" thickBot="1">
      <c r="A85" s="187"/>
      <c r="B85" s="185"/>
      <c r="C85" s="251"/>
      <c r="D85" s="251"/>
      <c r="E85" s="251"/>
      <c r="F85" s="186"/>
      <c r="G85" s="267"/>
      <c r="H85" s="268"/>
      <c r="I85" s="177"/>
    </row>
    <row r="86" spans="1:9" ht="17.25" thickBot="1" thickTop="1">
      <c r="A86" s="194" t="s">
        <v>14</v>
      </c>
      <c r="B86" s="195"/>
      <c r="C86" s="253">
        <f>SUM(C75:C85)</f>
        <v>679896500.17</v>
      </c>
      <c r="D86" s="256">
        <f>SUM(D75:D85)</f>
        <v>64562630.769999996</v>
      </c>
      <c r="E86" s="301">
        <f>SUM(E75:E85)</f>
        <v>61857876.07</v>
      </c>
      <c r="F86" s="302">
        <f>(+D86-E86)/E86</f>
        <v>0.04372530826857398</v>
      </c>
      <c r="G86" s="276">
        <f>D86/C86</f>
        <v>0.09495949862053546</v>
      </c>
      <c r="H86" s="299">
        <f>1-G86</f>
        <v>0.9050405013794646</v>
      </c>
      <c r="I86" s="177"/>
    </row>
    <row r="87" spans="1:9" ht="15.75" thickTop="1">
      <c r="A87" s="197"/>
      <c r="B87" s="198"/>
      <c r="C87" s="254"/>
      <c r="D87" s="254"/>
      <c r="E87" s="254"/>
      <c r="F87" s="199"/>
      <c r="G87" s="273"/>
      <c r="H87" s="268"/>
      <c r="I87" s="177"/>
    </row>
    <row r="88" spans="1:9" ht="15.75">
      <c r="A88" s="184" t="s">
        <v>61</v>
      </c>
      <c r="B88" s="185">
        <f>DATE(10,7,1)</f>
        <v>3835</v>
      </c>
      <c r="C88" s="251">
        <v>136111908.78</v>
      </c>
      <c r="D88" s="251">
        <v>12514217.96</v>
      </c>
      <c r="E88" s="251">
        <v>14926100.07</v>
      </c>
      <c r="F88" s="186">
        <f aca="true" t="shared" si="18" ref="F88:F97">(+D88-E88)/E88</f>
        <v>-0.16158823126528854</v>
      </c>
      <c r="G88" s="267">
        <f aca="true" t="shared" si="19" ref="G88:G97">D88/C88</f>
        <v>0.09194065436424777</v>
      </c>
      <c r="H88" s="268">
        <f aca="true" t="shared" si="20" ref="H88:H97">1-G88</f>
        <v>0.9080593456357522</v>
      </c>
      <c r="I88" s="177"/>
    </row>
    <row r="89" spans="1:9" ht="15.75">
      <c r="A89" s="184"/>
      <c r="B89" s="185">
        <f>DATE(10,8,1)</f>
        <v>3866</v>
      </c>
      <c r="C89" s="251">
        <v>126279768.22</v>
      </c>
      <c r="D89" s="251">
        <v>11642006.58</v>
      </c>
      <c r="E89" s="251">
        <v>14430260.53</v>
      </c>
      <c r="F89" s="186">
        <f t="shared" si="18"/>
        <v>-0.19322270337415726</v>
      </c>
      <c r="G89" s="267">
        <f t="shared" si="19"/>
        <v>0.09219217570717837</v>
      </c>
      <c r="H89" s="268">
        <f t="shared" si="20"/>
        <v>0.9078078242928216</v>
      </c>
      <c r="I89" s="177"/>
    </row>
    <row r="90" spans="1:9" ht="15.75">
      <c r="A90" s="184"/>
      <c r="B90" s="185">
        <f>DATE(10,9,1)</f>
        <v>3897</v>
      </c>
      <c r="C90" s="251">
        <v>121919932.4</v>
      </c>
      <c r="D90" s="251">
        <v>11237441.91</v>
      </c>
      <c r="E90" s="251">
        <v>13447014</v>
      </c>
      <c r="F90" s="186">
        <f t="shared" si="18"/>
        <v>-0.16431693236877717</v>
      </c>
      <c r="G90" s="267">
        <f t="shared" si="19"/>
        <v>0.09217067044568013</v>
      </c>
      <c r="H90" s="268">
        <f t="shared" si="20"/>
        <v>0.9078293295543198</v>
      </c>
      <c r="I90" s="177"/>
    </row>
    <row r="91" spans="1:9" ht="15.75">
      <c r="A91" s="184"/>
      <c r="B91" s="185">
        <f>DATE(10,10,1)</f>
        <v>3927</v>
      </c>
      <c r="C91" s="251">
        <v>125468912.72</v>
      </c>
      <c r="D91" s="251">
        <v>11440861.01</v>
      </c>
      <c r="E91" s="251">
        <v>13636921.27</v>
      </c>
      <c r="F91" s="186">
        <f t="shared" si="18"/>
        <v>-0.16103783372506042</v>
      </c>
      <c r="G91" s="267">
        <f t="shared" si="19"/>
        <v>0.09118482628068796</v>
      </c>
      <c r="H91" s="268">
        <f t="shared" si="20"/>
        <v>0.9088151737193121</v>
      </c>
      <c r="I91" s="177"/>
    </row>
    <row r="92" spans="1:9" ht="15.75">
      <c r="A92" s="184"/>
      <c r="B92" s="185">
        <f>DATE(10,11,1)</f>
        <v>3958</v>
      </c>
      <c r="C92" s="251">
        <v>112696427.12</v>
      </c>
      <c r="D92" s="251">
        <v>10365219.93</v>
      </c>
      <c r="E92" s="251">
        <v>13482216.6</v>
      </c>
      <c r="F92" s="186">
        <f t="shared" si="18"/>
        <v>-0.2311931904431798</v>
      </c>
      <c r="G92" s="267">
        <f t="shared" si="19"/>
        <v>0.09197469870950777</v>
      </c>
      <c r="H92" s="268">
        <f t="shared" si="20"/>
        <v>0.9080253012904922</v>
      </c>
      <c r="I92" s="177"/>
    </row>
    <row r="93" spans="1:9" ht="15.75">
      <c r="A93" s="184"/>
      <c r="B93" s="185">
        <f>DATE(10,12,1)</f>
        <v>3988</v>
      </c>
      <c r="C93" s="251">
        <v>121444499.63</v>
      </c>
      <c r="D93" s="251">
        <v>11180863.53</v>
      </c>
      <c r="E93" s="251">
        <v>14044921.08</v>
      </c>
      <c r="F93" s="186">
        <f t="shared" si="18"/>
        <v>-0.20392122772967555</v>
      </c>
      <c r="G93" s="267">
        <f t="shared" si="19"/>
        <v>0.09206562309585267</v>
      </c>
      <c r="H93" s="268">
        <f t="shared" si="20"/>
        <v>0.9079343769041474</v>
      </c>
      <c r="I93" s="177"/>
    </row>
    <row r="94" spans="1:9" ht="15.75">
      <c r="A94" s="184"/>
      <c r="B94" s="185">
        <f>DATE(11,1,1)</f>
        <v>4019</v>
      </c>
      <c r="C94" s="251">
        <v>122984156.63</v>
      </c>
      <c r="D94" s="251">
        <v>11350978.26</v>
      </c>
      <c r="E94" s="251">
        <v>13834322.58</v>
      </c>
      <c r="F94" s="186">
        <f t="shared" si="18"/>
        <v>-0.1795060297054314</v>
      </c>
      <c r="G94" s="267">
        <f t="shared" si="19"/>
        <v>0.09229626458430429</v>
      </c>
      <c r="H94" s="268">
        <f t="shared" si="20"/>
        <v>0.9077037354156957</v>
      </c>
      <c r="I94" s="177"/>
    </row>
    <row r="95" spans="1:9" ht="15.75">
      <c r="A95" s="184"/>
      <c r="B95" s="185">
        <f>DATE(11,2,1)</f>
        <v>4050</v>
      </c>
      <c r="C95" s="251">
        <v>142083802.32</v>
      </c>
      <c r="D95" s="251">
        <v>13290433.91</v>
      </c>
      <c r="E95" s="251">
        <v>15346006.46</v>
      </c>
      <c r="F95" s="186">
        <f t="shared" si="18"/>
        <v>-0.13394836991356254</v>
      </c>
      <c r="G95" s="267">
        <f t="shared" si="19"/>
        <v>0.09353940204997746</v>
      </c>
      <c r="H95" s="268">
        <f t="shared" si="20"/>
        <v>0.9064605979500225</v>
      </c>
      <c r="I95" s="177"/>
    </row>
    <row r="96" spans="1:9" ht="15.75">
      <c r="A96" s="184"/>
      <c r="B96" s="185">
        <f>DATE(11,3,1)</f>
        <v>4078</v>
      </c>
      <c r="C96" s="251">
        <v>140699221.47</v>
      </c>
      <c r="D96" s="251">
        <v>13163554.53</v>
      </c>
      <c r="E96" s="251">
        <v>12932322.16</v>
      </c>
      <c r="F96" s="186">
        <f t="shared" si="18"/>
        <v>0.01788018943072782</v>
      </c>
      <c r="G96" s="267">
        <f t="shared" si="19"/>
        <v>0.09355811917414726</v>
      </c>
      <c r="H96" s="268">
        <f t="shared" si="20"/>
        <v>0.9064418808258528</v>
      </c>
      <c r="I96" s="177"/>
    </row>
    <row r="97" spans="1:9" ht="15.75">
      <c r="A97" s="184"/>
      <c r="B97" s="185">
        <f>DATE(11,4,1)</f>
        <v>4109</v>
      </c>
      <c r="C97" s="251">
        <v>136125947.34</v>
      </c>
      <c r="D97" s="251">
        <v>12617077.2</v>
      </c>
      <c r="E97" s="251">
        <v>12093487.41</v>
      </c>
      <c r="F97" s="186">
        <f t="shared" si="18"/>
        <v>0.0432951862642241</v>
      </c>
      <c r="G97" s="267">
        <f t="shared" si="19"/>
        <v>0.0926867907738889</v>
      </c>
      <c r="H97" s="268">
        <f t="shared" si="20"/>
        <v>0.9073132092261111</v>
      </c>
      <c r="I97" s="177"/>
    </row>
    <row r="98" spans="1:9" ht="15.75" thickBot="1">
      <c r="A98" s="187"/>
      <c r="B98" s="185"/>
      <c r="C98" s="251"/>
      <c r="D98" s="251"/>
      <c r="E98" s="251"/>
      <c r="F98" s="186"/>
      <c r="G98" s="267"/>
      <c r="H98" s="268"/>
      <c r="I98" s="177"/>
    </row>
    <row r="99" spans="1:9" ht="17.25" thickBot="1" thickTop="1">
      <c r="A99" s="194" t="s">
        <v>14</v>
      </c>
      <c r="B99" s="195"/>
      <c r="C99" s="253">
        <f>SUM(C88:C98)</f>
        <v>1285814576.6299999</v>
      </c>
      <c r="D99" s="256">
        <f>SUM(D88:D98)</f>
        <v>118802654.82000001</v>
      </c>
      <c r="E99" s="301">
        <f>SUM(E88:E98)</f>
        <v>138173572.16</v>
      </c>
      <c r="F99" s="196">
        <f>(+D99-E99)/E99</f>
        <v>-0.1401926362413875</v>
      </c>
      <c r="G99" s="276">
        <f>D99/C99</f>
        <v>0.09239485768731187</v>
      </c>
      <c r="H99" s="299">
        <f>1-G99</f>
        <v>0.9076051423126881</v>
      </c>
      <c r="I99" s="177"/>
    </row>
    <row r="100" spans="1:9" ht="15.75" thickTop="1">
      <c r="A100" s="197"/>
      <c r="B100" s="202"/>
      <c r="C100" s="255"/>
      <c r="D100" s="255"/>
      <c r="E100" s="255"/>
      <c r="F100" s="203"/>
      <c r="G100" s="274"/>
      <c r="H100" s="275"/>
      <c r="I100" s="177"/>
    </row>
    <row r="101" spans="1:9" ht="15.75">
      <c r="A101" s="184" t="s">
        <v>19</v>
      </c>
      <c r="B101" s="185">
        <f>DATE(10,7,1)</f>
        <v>3835</v>
      </c>
      <c r="C101" s="251">
        <v>214853461.53</v>
      </c>
      <c r="D101" s="251">
        <v>19735116.83</v>
      </c>
      <c r="E101" s="251">
        <v>18717376.74</v>
      </c>
      <c r="F101" s="186">
        <f aca="true" t="shared" si="21" ref="F101:F110">(+D101-E101)/E101</f>
        <v>0.05437407731528088</v>
      </c>
      <c r="G101" s="267">
        <f aca="true" t="shared" si="22" ref="G101:G110">D101/C101</f>
        <v>0.09185384628883153</v>
      </c>
      <c r="H101" s="268">
        <f aca="true" t="shared" si="23" ref="H101:H110">1-G101</f>
        <v>0.9081461537111685</v>
      </c>
      <c r="I101" s="177"/>
    </row>
    <row r="102" spans="1:9" ht="15.75">
      <c r="A102" s="184"/>
      <c r="B102" s="185">
        <f>DATE(10,8,1)</f>
        <v>3866</v>
      </c>
      <c r="C102" s="251">
        <v>188599165.9</v>
      </c>
      <c r="D102" s="251">
        <v>17526293.41</v>
      </c>
      <c r="E102" s="251">
        <v>18692267.63</v>
      </c>
      <c r="F102" s="186">
        <f t="shared" si="21"/>
        <v>-0.062377355336421476</v>
      </c>
      <c r="G102" s="267">
        <f t="shared" si="22"/>
        <v>0.09292879598042804</v>
      </c>
      <c r="H102" s="268">
        <f t="shared" si="23"/>
        <v>0.907071204019572</v>
      </c>
      <c r="I102" s="177"/>
    </row>
    <row r="103" spans="1:9" ht="15.75">
      <c r="A103" s="184"/>
      <c r="B103" s="185">
        <f>DATE(10,9,1)</f>
        <v>3897</v>
      </c>
      <c r="C103" s="251">
        <v>180476641.27</v>
      </c>
      <c r="D103" s="251">
        <v>17032353.79</v>
      </c>
      <c r="E103" s="251">
        <v>16759056.97</v>
      </c>
      <c r="F103" s="186">
        <f t="shared" si="21"/>
        <v>0.016307410404369456</v>
      </c>
      <c r="G103" s="267">
        <f t="shared" si="22"/>
        <v>0.0943742839524531</v>
      </c>
      <c r="H103" s="268">
        <f t="shared" si="23"/>
        <v>0.9056257160475469</v>
      </c>
      <c r="I103" s="177"/>
    </row>
    <row r="104" spans="1:9" ht="15.75">
      <c r="A104" s="184"/>
      <c r="B104" s="185">
        <f>DATE(10,10,1)</f>
        <v>3927</v>
      </c>
      <c r="C104" s="251">
        <v>193105712.09</v>
      </c>
      <c r="D104" s="251">
        <v>17793518.03</v>
      </c>
      <c r="E104" s="251">
        <v>17492798.86</v>
      </c>
      <c r="F104" s="186">
        <f t="shared" si="21"/>
        <v>0.01719102657080468</v>
      </c>
      <c r="G104" s="267">
        <f t="shared" si="22"/>
        <v>0.09214392385092704</v>
      </c>
      <c r="H104" s="268">
        <f t="shared" si="23"/>
        <v>0.9078560761490729</v>
      </c>
      <c r="I104" s="177"/>
    </row>
    <row r="105" spans="1:9" ht="15.75">
      <c r="A105" s="184"/>
      <c r="B105" s="185">
        <f>DATE(10,11,1)</f>
        <v>3958</v>
      </c>
      <c r="C105" s="251">
        <v>181420286.64</v>
      </c>
      <c r="D105" s="251">
        <v>16697979.52</v>
      </c>
      <c r="E105" s="251">
        <v>17148036.95</v>
      </c>
      <c r="F105" s="186">
        <f t="shared" si="21"/>
        <v>-0.0262454198875516</v>
      </c>
      <c r="G105" s="267">
        <f t="shared" si="22"/>
        <v>0.09204031053668497</v>
      </c>
      <c r="H105" s="268">
        <f t="shared" si="23"/>
        <v>0.9079596894633151</v>
      </c>
      <c r="I105" s="177"/>
    </row>
    <row r="106" spans="1:9" ht="15.75">
      <c r="A106" s="184"/>
      <c r="B106" s="185">
        <f>DATE(10,12,1)</f>
        <v>3988</v>
      </c>
      <c r="C106" s="251">
        <v>195076553.91</v>
      </c>
      <c r="D106" s="251">
        <v>18121614.54</v>
      </c>
      <c r="E106" s="251">
        <v>16394290.85</v>
      </c>
      <c r="F106" s="186">
        <f t="shared" si="21"/>
        <v>0.1053612935017558</v>
      </c>
      <c r="G106" s="267">
        <f t="shared" si="22"/>
        <v>0.09289488755455737</v>
      </c>
      <c r="H106" s="268">
        <f t="shared" si="23"/>
        <v>0.9071051124454427</v>
      </c>
      <c r="I106" s="177"/>
    </row>
    <row r="107" spans="1:9" ht="15.75">
      <c r="A107" s="184"/>
      <c r="B107" s="185">
        <f>DATE(11,1,1)</f>
        <v>4019</v>
      </c>
      <c r="C107" s="251">
        <v>178660317.89</v>
      </c>
      <c r="D107" s="251">
        <v>16644596.2</v>
      </c>
      <c r="E107" s="251">
        <v>16906944.26</v>
      </c>
      <c r="F107" s="186">
        <f t="shared" si="21"/>
        <v>-0.015517177791890487</v>
      </c>
      <c r="G107" s="267">
        <f t="shared" si="22"/>
        <v>0.09316336384360388</v>
      </c>
      <c r="H107" s="268">
        <f t="shared" si="23"/>
        <v>0.9068366361563961</v>
      </c>
      <c r="I107" s="177"/>
    </row>
    <row r="108" spans="1:9" ht="15.75">
      <c r="A108" s="184"/>
      <c r="B108" s="185">
        <f>DATE(11,2,1)</f>
        <v>4050</v>
      </c>
      <c r="C108" s="251">
        <v>182476349.31</v>
      </c>
      <c r="D108" s="251">
        <v>17417775.95</v>
      </c>
      <c r="E108" s="251">
        <v>16897378.63</v>
      </c>
      <c r="F108" s="186">
        <f t="shared" si="21"/>
        <v>0.030797517851442045</v>
      </c>
      <c r="G108" s="267">
        <f t="shared" si="22"/>
        <v>0.09545223814407754</v>
      </c>
      <c r="H108" s="268">
        <f t="shared" si="23"/>
        <v>0.9045477618559224</v>
      </c>
      <c r="I108" s="177"/>
    </row>
    <row r="109" spans="1:9" ht="15.75">
      <c r="A109" s="184"/>
      <c r="B109" s="185">
        <f>DATE(11,3,1)</f>
        <v>4078</v>
      </c>
      <c r="C109" s="251">
        <v>204231180.37</v>
      </c>
      <c r="D109" s="251">
        <v>19166875.83</v>
      </c>
      <c r="E109" s="251">
        <v>17723217.07</v>
      </c>
      <c r="F109" s="186">
        <f t="shared" si="21"/>
        <v>0.08145579633190138</v>
      </c>
      <c r="G109" s="267">
        <f t="shared" si="22"/>
        <v>0.0938489205971189</v>
      </c>
      <c r="H109" s="268">
        <f t="shared" si="23"/>
        <v>0.9061510794028811</v>
      </c>
      <c r="I109" s="177"/>
    </row>
    <row r="110" spans="1:9" ht="15.75">
      <c r="A110" s="184"/>
      <c r="B110" s="185">
        <f>DATE(11,4,1)</f>
        <v>4109</v>
      </c>
      <c r="C110" s="251">
        <v>195797426.74</v>
      </c>
      <c r="D110" s="251">
        <v>18252365.11</v>
      </c>
      <c r="E110" s="251">
        <v>17368175.22</v>
      </c>
      <c r="F110" s="186">
        <f t="shared" si="21"/>
        <v>0.05090862331823024</v>
      </c>
      <c r="G110" s="267">
        <f t="shared" si="22"/>
        <v>0.09322065878954257</v>
      </c>
      <c r="H110" s="268">
        <f t="shared" si="23"/>
        <v>0.9067793412104574</v>
      </c>
      <c r="I110" s="177"/>
    </row>
    <row r="111" spans="1:9" ht="16.5" thickBot="1">
      <c r="A111" s="184"/>
      <c r="B111" s="185"/>
      <c r="C111" s="251"/>
      <c r="D111" s="251"/>
      <c r="E111" s="251"/>
      <c r="F111" s="186"/>
      <c r="G111" s="267"/>
      <c r="H111" s="268"/>
      <c r="I111" s="177"/>
    </row>
    <row r="112" spans="1:9" ht="17.25" thickBot="1" thickTop="1">
      <c r="A112" s="194" t="s">
        <v>14</v>
      </c>
      <c r="B112" s="204"/>
      <c r="C112" s="253">
        <f>SUM(C101:C111)</f>
        <v>1914697095.6499999</v>
      </c>
      <c r="D112" s="253">
        <f>SUM(D101:D111)</f>
        <v>178388489.21000004</v>
      </c>
      <c r="E112" s="253">
        <f>SUM(E101:E111)</f>
        <v>174099543.17999998</v>
      </c>
      <c r="F112" s="196">
        <f>(+D112-E112)/E112</f>
        <v>0.02463502173331815</v>
      </c>
      <c r="G112" s="271">
        <f>D112/C112</f>
        <v>0.09316799488299263</v>
      </c>
      <c r="H112" s="272">
        <f>1-G112</f>
        <v>0.9068320051170073</v>
      </c>
      <c r="I112" s="177"/>
    </row>
    <row r="113" spans="1:9" ht="15.75" thickTop="1">
      <c r="A113" s="191"/>
      <c r="B113" s="192"/>
      <c r="C113" s="252"/>
      <c r="D113" s="252"/>
      <c r="E113" s="252"/>
      <c r="F113" s="193"/>
      <c r="G113" s="269"/>
      <c r="H113" s="270"/>
      <c r="I113" s="177"/>
    </row>
    <row r="114" spans="1:9" ht="15.75">
      <c r="A114" s="184" t="s">
        <v>65</v>
      </c>
      <c r="B114" s="185">
        <f>DATE(10,7,1)</f>
        <v>3835</v>
      </c>
      <c r="C114" s="251">
        <v>152932209.04</v>
      </c>
      <c r="D114" s="251">
        <v>13265777.86</v>
      </c>
      <c r="E114" s="251">
        <v>0</v>
      </c>
      <c r="F114" s="186">
        <v>0</v>
      </c>
      <c r="G114" s="267">
        <f aca="true" t="shared" si="24" ref="G114:G123">D114/C114</f>
        <v>0.08674286432709728</v>
      </c>
      <c r="H114" s="268">
        <f aca="true" t="shared" si="25" ref="H114:H123">1-G114</f>
        <v>0.9132571356729027</v>
      </c>
      <c r="I114" s="177"/>
    </row>
    <row r="115" spans="1:9" ht="15.75">
      <c r="A115" s="184"/>
      <c r="B115" s="185">
        <f>DATE(10,8,1)</f>
        <v>3866</v>
      </c>
      <c r="C115" s="251">
        <v>152252892.43</v>
      </c>
      <c r="D115" s="251">
        <v>13085185.19</v>
      </c>
      <c r="E115" s="251">
        <v>0</v>
      </c>
      <c r="F115" s="186">
        <v>0</v>
      </c>
      <c r="G115" s="267">
        <f t="shared" si="24"/>
        <v>0.08594375437574076</v>
      </c>
      <c r="H115" s="268">
        <f t="shared" si="25"/>
        <v>0.9140562456242592</v>
      </c>
      <c r="I115" s="177"/>
    </row>
    <row r="116" spans="1:9" ht="15.75">
      <c r="A116" s="184"/>
      <c r="B116" s="185">
        <f>DATE(10,9,1)</f>
        <v>3897</v>
      </c>
      <c r="C116" s="251">
        <v>145248996.45</v>
      </c>
      <c r="D116" s="251">
        <v>12780035.99</v>
      </c>
      <c r="E116" s="251">
        <v>0</v>
      </c>
      <c r="F116" s="186">
        <v>0</v>
      </c>
      <c r="G116" s="267">
        <f t="shared" si="24"/>
        <v>0.08798708633005499</v>
      </c>
      <c r="H116" s="268">
        <f t="shared" si="25"/>
        <v>0.912012913669945</v>
      </c>
      <c r="I116" s="177"/>
    </row>
    <row r="117" spans="1:9" ht="15.75">
      <c r="A117" s="184"/>
      <c r="B117" s="185">
        <f>DATE(10,10,1)</f>
        <v>3927</v>
      </c>
      <c r="C117" s="251">
        <v>145170631.75</v>
      </c>
      <c r="D117" s="251">
        <v>12779654.39</v>
      </c>
      <c r="E117" s="251">
        <v>0</v>
      </c>
      <c r="F117" s="186">
        <v>0</v>
      </c>
      <c r="G117" s="267">
        <f t="shared" si="24"/>
        <v>0.0880319540939106</v>
      </c>
      <c r="H117" s="268">
        <f t="shared" si="25"/>
        <v>0.9119680459060894</v>
      </c>
      <c r="I117" s="177"/>
    </row>
    <row r="118" spans="1:9" ht="15.75">
      <c r="A118" s="184"/>
      <c r="B118" s="185">
        <f>DATE(10,11,1)</f>
        <v>3958</v>
      </c>
      <c r="C118" s="251">
        <v>133901428.33</v>
      </c>
      <c r="D118" s="251">
        <v>11828953.56</v>
      </c>
      <c r="E118" s="251">
        <v>0</v>
      </c>
      <c r="F118" s="186">
        <v>0</v>
      </c>
      <c r="G118" s="267">
        <f t="shared" si="24"/>
        <v>0.0883407571340281</v>
      </c>
      <c r="H118" s="268">
        <f t="shared" si="25"/>
        <v>0.9116592428659719</v>
      </c>
      <c r="I118" s="177"/>
    </row>
    <row r="119" spans="1:9" ht="15.75">
      <c r="A119" s="184"/>
      <c r="B119" s="185">
        <f>DATE(10,12,1)</f>
        <v>3988</v>
      </c>
      <c r="C119" s="251">
        <v>134176114.86</v>
      </c>
      <c r="D119" s="251">
        <v>11794106.78</v>
      </c>
      <c r="E119" s="251">
        <v>0</v>
      </c>
      <c r="F119" s="186">
        <v>0</v>
      </c>
      <c r="G119" s="267">
        <f t="shared" si="24"/>
        <v>0.08790019589034924</v>
      </c>
      <c r="H119" s="268">
        <f t="shared" si="25"/>
        <v>0.9120998041096507</v>
      </c>
      <c r="I119" s="177"/>
    </row>
    <row r="120" spans="1:9" ht="15.75">
      <c r="A120" s="184"/>
      <c r="B120" s="185">
        <f>DATE(11,1,1)</f>
        <v>4019</v>
      </c>
      <c r="C120" s="251">
        <v>140793080.91</v>
      </c>
      <c r="D120" s="251">
        <v>12581179.06</v>
      </c>
      <c r="E120" s="251">
        <v>0</v>
      </c>
      <c r="F120" s="186">
        <v>0</v>
      </c>
      <c r="G120" s="267">
        <f t="shared" si="24"/>
        <v>0.08935935614650228</v>
      </c>
      <c r="H120" s="268">
        <f t="shared" si="25"/>
        <v>0.9106406438534977</v>
      </c>
      <c r="I120" s="177"/>
    </row>
    <row r="121" spans="1:9" ht="15.75">
      <c r="A121" s="184"/>
      <c r="B121" s="185">
        <f>DATE(11,2,1)</f>
        <v>4050</v>
      </c>
      <c r="C121" s="251">
        <v>149416298.5</v>
      </c>
      <c r="D121" s="251">
        <v>13217266.2</v>
      </c>
      <c r="E121" s="251">
        <v>0</v>
      </c>
      <c r="F121" s="186">
        <v>0</v>
      </c>
      <c r="G121" s="267">
        <f t="shared" si="24"/>
        <v>0.08845933363822421</v>
      </c>
      <c r="H121" s="268">
        <f t="shared" si="25"/>
        <v>0.9115406663617758</v>
      </c>
      <c r="I121" s="177"/>
    </row>
    <row r="122" spans="1:9" ht="15.75">
      <c r="A122" s="184"/>
      <c r="B122" s="185">
        <f>DATE(11,3,1)</f>
        <v>4078</v>
      </c>
      <c r="C122" s="251">
        <v>178992798.84</v>
      </c>
      <c r="D122" s="251">
        <v>15394943.3</v>
      </c>
      <c r="E122" s="251">
        <v>14164072.63</v>
      </c>
      <c r="F122" s="186">
        <f>(+D122-E122)/E122</f>
        <v>0.08690090076161942</v>
      </c>
      <c r="G122" s="267">
        <f t="shared" si="24"/>
        <v>0.08600872995880353</v>
      </c>
      <c r="H122" s="268">
        <f t="shared" si="25"/>
        <v>0.9139912700411965</v>
      </c>
      <c r="I122" s="177"/>
    </row>
    <row r="123" spans="1:9" ht="15.75">
      <c r="A123" s="184"/>
      <c r="B123" s="185">
        <f>DATE(11,4,1)</f>
        <v>4109</v>
      </c>
      <c r="C123" s="251">
        <v>172860907.06</v>
      </c>
      <c r="D123" s="251">
        <v>14484296.16</v>
      </c>
      <c r="E123" s="251">
        <v>11338594.66</v>
      </c>
      <c r="F123" s="186">
        <f>(+D123-E123)/E123</f>
        <v>0.27743310298385776</v>
      </c>
      <c r="G123" s="267">
        <f t="shared" si="24"/>
        <v>0.0837916241812413</v>
      </c>
      <c r="H123" s="268">
        <f t="shared" si="25"/>
        <v>0.9162083758187587</v>
      </c>
      <c r="I123" s="177"/>
    </row>
    <row r="124" spans="1:9" ht="15.75" thickBot="1">
      <c r="A124" s="187"/>
      <c r="B124" s="188"/>
      <c r="C124" s="251"/>
      <c r="D124" s="251"/>
      <c r="E124" s="251"/>
      <c r="F124" s="186"/>
      <c r="G124" s="267"/>
      <c r="H124" s="268"/>
      <c r="I124" s="177"/>
    </row>
    <row r="125" spans="1:9" ht="17.25" thickBot="1" thickTop="1">
      <c r="A125" s="194" t="s">
        <v>14</v>
      </c>
      <c r="B125" s="195"/>
      <c r="C125" s="253">
        <f>SUM(C114:C124)</f>
        <v>1505745358.1699998</v>
      </c>
      <c r="D125" s="253">
        <f>SUM(D114:D124)</f>
        <v>131211398.49</v>
      </c>
      <c r="E125" s="253">
        <f>SUM(E114:E124)</f>
        <v>25502667.29</v>
      </c>
      <c r="F125" s="196">
        <f>(+D125-E125)/E125</f>
        <v>4.1450068731222505</v>
      </c>
      <c r="G125" s="276">
        <f>D125/C125</f>
        <v>0.08714049675003954</v>
      </c>
      <c r="H125" s="299">
        <f>1-G125</f>
        <v>0.9128595032499605</v>
      </c>
      <c r="I125" s="177"/>
    </row>
    <row r="126" spans="1:9" ht="15.75" thickTop="1">
      <c r="A126" s="191"/>
      <c r="B126" s="192"/>
      <c r="C126" s="252"/>
      <c r="D126" s="252"/>
      <c r="E126" s="252"/>
      <c r="F126" s="193"/>
      <c r="G126" s="269"/>
      <c r="H126" s="270"/>
      <c r="I126" s="177"/>
    </row>
    <row r="127" spans="1:9" ht="15.75">
      <c r="A127" s="184" t="s">
        <v>62</v>
      </c>
      <c r="B127" s="185">
        <f>DATE(10,7,1)</f>
        <v>3835</v>
      </c>
      <c r="C127" s="251">
        <v>0</v>
      </c>
      <c r="D127" s="251">
        <v>0</v>
      </c>
      <c r="E127" s="251">
        <v>1897046.67</v>
      </c>
      <c r="F127" s="186">
        <f aca="true" t="shared" si="26" ref="F127:F136">(+D127-E127)/E127</f>
        <v>-1</v>
      </c>
      <c r="G127" s="267">
        <v>0</v>
      </c>
      <c r="H127" s="268">
        <v>0</v>
      </c>
      <c r="I127" s="177"/>
    </row>
    <row r="128" spans="1:9" ht="15.75">
      <c r="A128" s="184"/>
      <c r="B128" s="185">
        <f>DATE(10,8,1)</f>
        <v>3866</v>
      </c>
      <c r="C128" s="251">
        <v>0</v>
      </c>
      <c r="D128" s="251">
        <v>0</v>
      </c>
      <c r="E128" s="251">
        <v>1803571.63</v>
      </c>
      <c r="F128" s="186">
        <f t="shared" si="26"/>
        <v>-1</v>
      </c>
      <c r="G128" s="267">
        <v>0</v>
      </c>
      <c r="H128" s="268">
        <v>0</v>
      </c>
      <c r="I128" s="177"/>
    </row>
    <row r="129" spans="1:9" ht="15.75">
      <c r="A129" s="184"/>
      <c r="B129" s="185">
        <f>DATE(10,9,1)</f>
        <v>3897</v>
      </c>
      <c r="C129" s="251">
        <v>0</v>
      </c>
      <c r="D129" s="251">
        <v>0</v>
      </c>
      <c r="E129" s="251">
        <v>1687221.91</v>
      </c>
      <c r="F129" s="186">
        <f t="shared" si="26"/>
        <v>-1</v>
      </c>
      <c r="G129" s="267">
        <v>0</v>
      </c>
      <c r="H129" s="268">
        <v>0</v>
      </c>
      <c r="I129" s="177"/>
    </row>
    <row r="130" spans="1:9" ht="15.75">
      <c r="A130" s="184"/>
      <c r="B130" s="185">
        <f>DATE(10,10,1)</f>
        <v>3927</v>
      </c>
      <c r="C130" s="251">
        <v>0</v>
      </c>
      <c r="D130" s="251">
        <v>0</v>
      </c>
      <c r="E130" s="251">
        <v>1782846.83</v>
      </c>
      <c r="F130" s="186">
        <f t="shared" si="26"/>
        <v>-1</v>
      </c>
      <c r="G130" s="267">
        <v>0</v>
      </c>
      <c r="H130" s="268">
        <v>0</v>
      </c>
      <c r="I130" s="177"/>
    </row>
    <row r="131" spans="1:9" ht="15.75">
      <c r="A131" s="184"/>
      <c r="B131" s="185">
        <f>DATE(10,11,1)</f>
        <v>3958</v>
      </c>
      <c r="C131" s="251">
        <v>0</v>
      </c>
      <c r="D131" s="251">
        <v>0</v>
      </c>
      <c r="E131" s="251">
        <v>1380669.08</v>
      </c>
      <c r="F131" s="186">
        <f t="shared" si="26"/>
        <v>-1</v>
      </c>
      <c r="G131" s="267">
        <v>0</v>
      </c>
      <c r="H131" s="268">
        <v>0</v>
      </c>
      <c r="I131" s="177"/>
    </row>
    <row r="132" spans="1:9" ht="15.75">
      <c r="A132" s="184"/>
      <c r="B132" s="185">
        <f>DATE(10,12,1)</f>
        <v>3988</v>
      </c>
      <c r="C132" s="251">
        <v>0</v>
      </c>
      <c r="D132" s="251">
        <v>0</v>
      </c>
      <c r="E132" s="251">
        <v>1700188.31</v>
      </c>
      <c r="F132" s="186">
        <f t="shared" si="26"/>
        <v>-1</v>
      </c>
      <c r="G132" s="267">
        <v>0</v>
      </c>
      <c r="H132" s="268">
        <v>0</v>
      </c>
      <c r="I132" s="177"/>
    </row>
    <row r="133" spans="1:9" ht="15.75">
      <c r="A133" s="184"/>
      <c r="B133" s="185">
        <f>DATE(11,1,1)</f>
        <v>4019</v>
      </c>
      <c r="C133" s="251">
        <v>0</v>
      </c>
      <c r="D133" s="251">
        <v>0</v>
      </c>
      <c r="E133" s="251">
        <v>1876869.97</v>
      </c>
      <c r="F133" s="186">
        <f t="shared" si="26"/>
        <v>-1</v>
      </c>
      <c r="G133" s="267">
        <v>0</v>
      </c>
      <c r="H133" s="268">
        <v>0</v>
      </c>
      <c r="I133" s="177"/>
    </row>
    <row r="134" spans="1:9" ht="15.75">
      <c r="A134" s="184"/>
      <c r="B134" s="185">
        <f>DATE(11,2,1)</f>
        <v>4050</v>
      </c>
      <c r="C134" s="251">
        <v>0</v>
      </c>
      <c r="D134" s="251">
        <v>0</v>
      </c>
      <c r="E134" s="251">
        <v>1904947.11</v>
      </c>
      <c r="F134" s="186">
        <f t="shared" si="26"/>
        <v>-1</v>
      </c>
      <c r="G134" s="267">
        <v>0</v>
      </c>
      <c r="H134" s="268">
        <v>0</v>
      </c>
      <c r="I134" s="177"/>
    </row>
    <row r="135" spans="1:9" ht="15.75">
      <c r="A135" s="184"/>
      <c r="B135" s="185">
        <f>DATE(11,3,1)</f>
        <v>4078</v>
      </c>
      <c r="C135" s="251">
        <v>0</v>
      </c>
      <c r="D135" s="251">
        <v>0</v>
      </c>
      <c r="E135" s="251">
        <v>1435885.98</v>
      </c>
      <c r="F135" s="186">
        <f t="shared" si="26"/>
        <v>-1</v>
      </c>
      <c r="G135" s="267">
        <v>0</v>
      </c>
      <c r="H135" s="268">
        <v>0</v>
      </c>
      <c r="I135" s="177"/>
    </row>
    <row r="136" spans="1:9" ht="15.75">
      <c r="A136" s="184"/>
      <c r="B136" s="185">
        <f>DATE(11,4,1)</f>
        <v>4109</v>
      </c>
      <c r="C136" s="251">
        <v>0</v>
      </c>
      <c r="D136" s="251">
        <v>0</v>
      </c>
      <c r="E136" s="251">
        <v>1367161.33</v>
      </c>
      <c r="F136" s="186">
        <f t="shared" si="26"/>
        <v>-1</v>
      </c>
      <c r="G136" s="267">
        <v>0</v>
      </c>
      <c r="H136" s="268">
        <v>0</v>
      </c>
      <c r="I136" s="177"/>
    </row>
    <row r="137" spans="1:9" ht="15.75" thickBot="1">
      <c r="A137" s="187"/>
      <c r="B137" s="188"/>
      <c r="C137" s="251"/>
      <c r="D137" s="251"/>
      <c r="E137" s="251"/>
      <c r="F137" s="186"/>
      <c r="G137" s="267"/>
      <c r="H137" s="268"/>
      <c r="I137" s="177"/>
    </row>
    <row r="138" spans="1:9" ht="17.25" thickBot="1" thickTop="1">
      <c r="A138" s="194" t="s">
        <v>14</v>
      </c>
      <c r="B138" s="256"/>
      <c r="C138" s="256">
        <f>SUM(C127:C137)</f>
        <v>0</v>
      </c>
      <c r="D138" s="256">
        <f>SUM(D127:D137)</f>
        <v>0</v>
      </c>
      <c r="E138" s="256">
        <f>SUM(E127:E137)</f>
        <v>16836408.82</v>
      </c>
      <c r="F138" s="300">
        <f>(+D138-E138)/E138</f>
        <v>-1</v>
      </c>
      <c r="G138" s="276">
        <v>0</v>
      </c>
      <c r="H138" s="299">
        <v>0</v>
      </c>
      <c r="I138" s="177"/>
    </row>
    <row r="139" spans="1:9" ht="15.75" thickTop="1">
      <c r="A139" s="197"/>
      <c r="B139" s="198"/>
      <c r="C139" s="254"/>
      <c r="D139" s="254"/>
      <c r="E139" s="254"/>
      <c r="F139" s="199"/>
      <c r="G139" s="273"/>
      <c r="H139" s="268"/>
      <c r="I139" s="177"/>
    </row>
    <row r="140" spans="1:9" ht="15.75">
      <c r="A140" s="184" t="s">
        <v>63</v>
      </c>
      <c r="B140" s="185">
        <f>DATE(10,7,1)</f>
        <v>3835</v>
      </c>
      <c r="C140" s="251">
        <v>36603999.3</v>
      </c>
      <c r="D140" s="251">
        <v>3131475.86</v>
      </c>
      <c r="E140" s="251">
        <v>3003508.3</v>
      </c>
      <c r="F140" s="186">
        <f aca="true" t="shared" si="27" ref="F140:F149">(+D140-E140)/E140</f>
        <v>0.04260602842349397</v>
      </c>
      <c r="G140" s="267">
        <f aca="true" t="shared" si="28" ref="G140:G149">D140/C140</f>
        <v>0.08555010162509756</v>
      </c>
      <c r="H140" s="268">
        <f aca="true" t="shared" si="29" ref="H140:H149">1-G140</f>
        <v>0.9144498983749024</v>
      </c>
      <c r="I140" s="177"/>
    </row>
    <row r="141" spans="1:9" ht="15.75">
      <c r="A141" s="184"/>
      <c r="B141" s="185">
        <f>DATE(10,8,1)</f>
        <v>3866</v>
      </c>
      <c r="C141" s="251">
        <v>33446695.54</v>
      </c>
      <c r="D141" s="251">
        <v>2832869.58</v>
      </c>
      <c r="E141" s="251">
        <v>2825168.74</v>
      </c>
      <c r="F141" s="186">
        <f t="shared" si="27"/>
        <v>0.002725798247364103</v>
      </c>
      <c r="G141" s="267">
        <f t="shared" si="28"/>
        <v>0.08469804069619011</v>
      </c>
      <c r="H141" s="268">
        <f t="shared" si="29"/>
        <v>0.9153019593038099</v>
      </c>
      <c r="I141" s="177"/>
    </row>
    <row r="142" spans="1:9" ht="15.75">
      <c r="A142" s="184"/>
      <c r="B142" s="185">
        <f>DATE(10,9,1)</f>
        <v>3897</v>
      </c>
      <c r="C142" s="251">
        <v>33266035.68</v>
      </c>
      <c r="D142" s="251">
        <v>2907032.41</v>
      </c>
      <c r="E142" s="251">
        <v>2743969.32</v>
      </c>
      <c r="F142" s="186">
        <f t="shared" si="27"/>
        <v>0.05942598877162385</v>
      </c>
      <c r="G142" s="267">
        <f t="shared" si="28"/>
        <v>0.08738740131117421</v>
      </c>
      <c r="H142" s="268">
        <f t="shared" si="29"/>
        <v>0.9126125986888258</v>
      </c>
      <c r="I142" s="177"/>
    </row>
    <row r="143" spans="1:9" ht="15.75">
      <c r="A143" s="184"/>
      <c r="B143" s="185">
        <f>DATE(10,10,1)</f>
        <v>3927</v>
      </c>
      <c r="C143" s="251">
        <v>34817547.29</v>
      </c>
      <c r="D143" s="251">
        <v>3008309.61</v>
      </c>
      <c r="E143" s="251">
        <v>2825956.12</v>
      </c>
      <c r="F143" s="186">
        <f t="shared" si="27"/>
        <v>0.0645280684683808</v>
      </c>
      <c r="G143" s="267">
        <f t="shared" si="28"/>
        <v>0.08640211169797193</v>
      </c>
      <c r="H143" s="268">
        <f t="shared" si="29"/>
        <v>0.913597888302028</v>
      </c>
      <c r="I143" s="177"/>
    </row>
    <row r="144" spans="1:9" ht="15.75">
      <c r="A144" s="184"/>
      <c r="B144" s="185">
        <f>DATE(10,11,1)</f>
        <v>3958</v>
      </c>
      <c r="C144" s="251">
        <v>31745015.46</v>
      </c>
      <c r="D144" s="251">
        <v>2771023.95</v>
      </c>
      <c r="E144" s="251">
        <v>2760261.73</v>
      </c>
      <c r="F144" s="186">
        <f t="shared" si="27"/>
        <v>0.0038989853328148722</v>
      </c>
      <c r="G144" s="267">
        <f t="shared" si="28"/>
        <v>0.0872900488422065</v>
      </c>
      <c r="H144" s="268">
        <f t="shared" si="29"/>
        <v>0.9127099511577935</v>
      </c>
      <c r="I144" s="177"/>
    </row>
    <row r="145" spans="1:9" ht="15.75">
      <c r="A145" s="184"/>
      <c r="B145" s="185">
        <f>DATE(10,12,1)</f>
        <v>3988</v>
      </c>
      <c r="C145" s="251">
        <v>33987565.11</v>
      </c>
      <c r="D145" s="251">
        <v>2886424.25</v>
      </c>
      <c r="E145" s="251">
        <v>2610734.26</v>
      </c>
      <c r="F145" s="186">
        <f t="shared" si="27"/>
        <v>0.1055986410505067</v>
      </c>
      <c r="G145" s="267">
        <f t="shared" si="28"/>
        <v>0.084925891003317</v>
      </c>
      <c r="H145" s="268">
        <f t="shared" si="29"/>
        <v>0.915074108996683</v>
      </c>
      <c r="I145" s="177"/>
    </row>
    <row r="146" spans="1:9" ht="15.75">
      <c r="A146" s="184"/>
      <c r="B146" s="185">
        <f>DATE(11,1,1)</f>
        <v>4019</v>
      </c>
      <c r="C146" s="251">
        <v>31996350.73</v>
      </c>
      <c r="D146" s="251">
        <v>2694185.75</v>
      </c>
      <c r="E146" s="251">
        <v>2674120.48</v>
      </c>
      <c r="F146" s="186">
        <f t="shared" si="27"/>
        <v>0.007503502609575773</v>
      </c>
      <c r="G146" s="267">
        <f t="shared" si="28"/>
        <v>0.0842029071607192</v>
      </c>
      <c r="H146" s="268">
        <f t="shared" si="29"/>
        <v>0.9157970928392808</v>
      </c>
      <c r="I146" s="177"/>
    </row>
    <row r="147" spans="1:9" ht="15.75">
      <c r="A147" s="184"/>
      <c r="B147" s="185">
        <f>DATE(11,2,1)</f>
        <v>4050</v>
      </c>
      <c r="C147" s="251">
        <v>33038441.78</v>
      </c>
      <c r="D147" s="251">
        <v>2937252.91</v>
      </c>
      <c r="E147" s="251">
        <v>2891289.42</v>
      </c>
      <c r="F147" s="186">
        <f t="shared" si="27"/>
        <v>0.01589722899480614</v>
      </c>
      <c r="G147" s="267">
        <f t="shared" si="28"/>
        <v>0.08890409933854937</v>
      </c>
      <c r="H147" s="268">
        <f t="shared" si="29"/>
        <v>0.9110959006614506</v>
      </c>
      <c r="I147" s="177"/>
    </row>
    <row r="148" spans="1:9" ht="15.75">
      <c r="A148" s="184"/>
      <c r="B148" s="185">
        <f>DATE(11,3,1)</f>
        <v>4078</v>
      </c>
      <c r="C148" s="251">
        <v>37429882.04</v>
      </c>
      <c r="D148" s="251">
        <v>3375751.57</v>
      </c>
      <c r="E148" s="251">
        <v>3165215.28</v>
      </c>
      <c r="F148" s="186">
        <f t="shared" si="27"/>
        <v>0.06651563049449201</v>
      </c>
      <c r="G148" s="267">
        <f t="shared" si="28"/>
        <v>0.09018867776266173</v>
      </c>
      <c r="H148" s="268">
        <f t="shared" si="29"/>
        <v>0.9098113222373383</v>
      </c>
      <c r="I148" s="177"/>
    </row>
    <row r="149" spans="1:9" ht="15.75">
      <c r="A149" s="184"/>
      <c r="B149" s="185">
        <f>DATE(11,4,1)</f>
        <v>4109</v>
      </c>
      <c r="C149" s="251">
        <v>33515626.68</v>
      </c>
      <c r="D149" s="251">
        <v>3122866.64</v>
      </c>
      <c r="E149" s="251">
        <v>3046410.47</v>
      </c>
      <c r="F149" s="186">
        <f t="shared" si="27"/>
        <v>0.025097133414198093</v>
      </c>
      <c r="G149" s="267">
        <f t="shared" si="28"/>
        <v>0.09317643587024226</v>
      </c>
      <c r="H149" s="268">
        <f t="shared" si="29"/>
        <v>0.9068235641297577</v>
      </c>
      <c r="I149" s="177"/>
    </row>
    <row r="150" spans="1:9" ht="15.75" thickBot="1">
      <c r="A150" s="187"/>
      <c r="B150" s="188"/>
      <c r="C150" s="251"/>
      <c r="D150" s="251"/>
      <c r="E150" s="251"/>
      <c r="F150" s="186"/>
      <c r="G150" s="267"/>
      <c r="H150" s="268"/>
      <c r="I150" s="177"/>
    </row>
    <row r="151" spans="1:9" ht="17.25" thickBot="1" thickTop="1">
      <c r="A151" s="205" t="s">
        <v>14</v>
      </c>
      <c r="B151" s="206"/>
      <c r="C151" s="256">
        <f>SUM(C140:C150)</f>
        <v>339847159.61</v>
      </c>
      <c r="D151" s="256">
        <f>SUM(D140:D150)</f>
        <v>29667192.53</v>
      </c>
      <c r="E151" s="256">
        <f>SUM(E140:E150)</f>
        <v>28546634.119999997</v>
      </c>
      <c r="F151" s="196">
        <f>(+D151-E151)/E151</f>
        <v>0.03925360885943929</v>
      </c>
      <c r="G151" s="276">
        <f>D151/C151</f>
        <v>0.08729569069826953</v>
      </c>
      <c r="H151" s="272">
        <f>1-G151</f>
        <v>0.9127043093017304</v>
      </c>
      <c r="I151" s="177"/>
    </row>
    <row r="152" spans="1:9" ht="15.75" thickTop="1">
      <c r="A152" s="197"/>
      <c r="B152" s="198"/>
      <c r="C152" s="254"/>
      <c r="D152" s="254"/>
      <c r="E152" s="254"/>
      <c r="F152" s="199"/>
      <c r="G152" s="273"/>
      <c r="H152" s="268"/>
      <c r="I152" s="177"/>
    </row>
    <row r="153" spans="1:9" ht="15.75">
      <c r="A153" s="184" t="s">
        <v>43</v>
      </c>
      <c r="B153" s="185">
        <f>DATE(10,7,1)</f>
        <v>3835</v>
      </c>
      <c r="C153" s="251">
        <v>252561253.97</v>
      </c>
      <c r="D153" s="251">
        <v>22643931.84</v>
      </c>
      <c r="E153" s="251">
        <v>23525607.52</v>
      </c>
      <c r="F153" s="186">
        <f aca="true" t="shared" si="30" ref="F153:F162">(+D153-E153)/E153</f>
        <v>-0.037477275740932695</v>
      </c>
      <c r="G153" s="267">
        <f aca="true" t="shared" si="31" ref="G153:G162">D153/C153</f>
        <v>0.08965718804472564</v>
      </c>
      <c r="H153" s="268">
        <f aca="true" t="shared" si="32" ref="H153:H162">1-G153</f>
        <v>0.9103428119552743</v>
      </c>
      <c r="I153" s="177"/>
    </row>
    <row r="154" spans="1:9" ht="15.75">
      <c r="A154" s="184"/>
      <c r="B154" s="185">
        <f>DATE(10,8,1)</f>
        <v>3866</v>
      </c>
      <c r="C154" s="251">
        <v>229317978.77</v>
      </c>
      <c r="D154" s="251">
        <v>20850456.42</v>
      </c>
      <c r="E154" s="251">
        <v>22709784.63</v>
      </c>
      <c r="F154" s="186">
        <f t="shared" si="30"/>
        <v>-0.08187344091074268</v>
      </c>
      <c r="G154" s="267">
        <f t="shared" si="31"/>
        <v>0.09092377550088417</v>
      </c>
      <c r="H154" s="268">
        <f t="shared" si="32"/>
        <v>0.9090762244991158</v>
      </c>
      <c r="I154" s="177"/>
    </row>
    <row r="155" spans="1:9" ht="15.75">
      <c r="A155" s="184"/>
      <c r="B155" s="185">
        <f>DATE(10,9,1)</f>
        <v>3897</v>
      </c>
      <c r="C155" s="251">
        <v>218767831.82</v>
      </c>
      <c r="D155" s="251">
        <v>19669175.04</v>
      </c>
      <c r="E155" s="251">
        <v>21293801.27</v>
      </c>
      <c r="F155" s="186">
        <f t="shared" si="30"/>
        <v>-0.07629573552416273</v>
      </c>
      <c r="G155" s="267">
        <f t="shared" si="31"/>
        <v>0.08990889966027364</v>
      </c>
      <c r="H155" s="268">
        <f t="shared" si="32"/>
        <v>0.9100911003397264</v>
      </c>
      <c r="I155" s="177"/>
    </row>
    <row r="156" spans="1:9" ht="15.75">
      <c r="A156" s="184"/>
      <c r="B156" s="185">
        <f>DATE(10,10,1)</f>
        <v>3927</v>
      </c>
      <c r="C156" s="251">
        <v>232940229.07</v>
      </c>
      <c r="D156" s="251">
        <v>21043048.22</v>
      </c>
      <c r="E156" s="251">
        <v>21859947.03</v>
      </c>
      <c r="F156" s="186">
        <f t="shared" si="30"/>
        <v>-0.03736966100050071</v>
      </c>
      <c r="G156" s="267">
        <f t="shared" si="31"/>
        <v>0.09033668552663968</v>
      </c>
      <c r="H156" s="268">
        <f t="shared" si="32"/>
        <v>0.9096633144733604</v>
      </c>
      <c r="I156" s="177"/>
    </row>
    <row r="157" spans="1:9" ht="15.75">
      <c r="A157" s="184"/>
      <c r="B157" s="185">
        <f>DATE(10,11,1)</f>
        <v>3958</v>
      </c>
      <c r="C157" s="251">
        <v>223501330.98</v>
      </c>
      <c r="D157" s="251">
        <v>20457888.67</v>
      </c>
      <c r="E157" s="251">
        <v>21220460.46</v>
      </c>
      <c r="F157" s="186">
        <f t="shared" si="30"/>
        <v>-0.03593568534657514</v>
      </c>
      <c r="G157" s="267">
        <f t="shared" si="31"/>
        <v>0.09153363239626826</v>
      </c>
      <c r="H157" s="268">
        <f t="shared" si="32"/>
        <v>0.9084663676037318</v>
      </c>
      <c r="I157" s="177"/>
    </row>
    <row r="158" spans="1:9" ht="15.75">
      <c r="A158" s="184"/>
      <c r="B158" s="185">
        <f>DATE(10,12,1)</f>
        <v>3988</v>
      </c>
      <c r="C158" s="251">
        <v>228593582.93</v>
      </c>
      <c r="D158" s="251">
        <v>20733331.69</v>
      </c>
      <c r="E158" s="251">
        <v>21792018.82</v>
      </c>
      <c r="F158" s="186">
        <f t="shared" si="30"/>
        <v>-0.04858141591858257</v>
      </c>
      <c r="G158" s="267">
        <f t="shared" si="31"/>
        <v>0.09069953506240361</v>
      </c>
      <c r="H158" s="268">
        <f t="shared" si="32"/>
        <v>0.9093004649375964</v>
      </c>
      <c r="I158" s="177"/>
    </row>
    <row r="159" spans="1:9" ht="15.75">
      <c r="A159" s="184"/>
      <c r="B159" s="185">
        <f>DATE(11,1,1)</f>
        <v>4019</v>
      </c>
      <c r="C159" s="251">
        <v>226062222.4</v>
      </c>
      <c r="D159" s="251">
        <v>20470826.51</v>
      </c>
      <c r="E159" s="251">
        <v>21911232.01</v>
      </c>
      <c r="F159" s="186">
        <f t="shared" si="30"/>
        <v>-0.06573822500453728</v>
      </c>
      <c r="G159" s="267">
        <f t="shared" si="31"/>
        <v>0.09055394701808435</v>
      </c>
      <c r="H159" s="268">
        <f t="shared" si="32"/>
        <v>0.9094460529819156</v>
      </c>
      <c r="I159" s="177"/>
    </row>
    <row r="160" spans="1:9" ht="15.75">
      <c r="A160" s="184"/>
      <c r="B160" s="185">
        <f>DATE(11,2,1)</f>
        <v>4050</v>
      </c>
      <c r="C160" s="251">
        <v>227924772.45</v>
      </c>
      <c r="D160" s="251">
        <v>20599292.35</v>
      </c>
      <c r="E160" s="251">
        <v>22377388.93</v>
      </c>
      <c r="F160" s="186">
        <f t="shared" si="30"/>
        <v>-0.07945951985560802</v>
      </c>
      <c r="G160" s="267">
        <f t="shared" si="31"/>
        <v>0.09037759313555477</v>
      </c>
      <c r="H160" s="268">
        <f t="shared" si="32"/>
        <v>0.9096224068644452</v>
      </c>
      <c r="I160" s="177"/>
    </row>
    <row r="161" spans="1:9" ht="15.75">
      <c r="A161" s="184"/>
      <c r="B161" s="185">
        <f>DATE(11,3,1)</f>
        <v>4078</v>
      </c>
      <c r="C161" s="251">
        <v>246727151.29</v>
      </c>
      <c r="D161" s="251">
        <v>22332770.67</v>
      </c>
      <c r="E161" s="251">
        <v>21851767.82</v>
      </c>
      <c r="F161" s="186">
        <f t="shared" si="30"/>
        <v>0.022012079478519807</v>
      </c>
      <c r="G161" s="267">
        <f t="shared" si="31"/>
        <v>0.09051606421601466</v>
      </c>
      <c r="H161" s="268">
        <f t="shared" si="32"/>
        <v>0.9094839357839853</v>
      </c>
      <c r="I161" s="177"/>
    </row>
    <row r="162" spans="1:9" ht="15.75">
      <c r="A162" s="184"/>
      <c r="B162" s="185">
        <f>DATE(11,4,1)</f>
        <v>4109</v>
      </c>
      <c r="C162" s="251">
        <v>240329207.66</v>
      </c>
      <c r="D162" s="251">
        <v>21777101.51</v>
      </c>
      <c r="E162" s="251">
        <v>20337082.95</v>
      </c>
      <c r="F162" s="186">
        <f t="shared" si="30"/>
        <v>0.07080752748761358</v>
      </c>
      <c r="G162" s="267">
        <f t="shared" si="31"/>
        <v>0.09061362837266386</v>
      </c>
      <c r="H162" s="268">
        <f t="shared" si="32"/>
        <v>0.9093863716273362</v>
      </c>
      <c r="I162" s="177"/>
    </row>
    <row r="163" spans="1:9" ht="15.75" thickBot="1">
      <c r="A163" s="187"/>
      <c r="B163" s="188"/>
      <c r="C163" s="251"/>
      <c r="D163" s="251"/>
      <c r="E163" s="251"/>
      <c r="F163" s="186"/>
      <c r="G163" s="267"/>
      <c r="H163" s="268"/>
      <c r="I163" s="177"/>
    </row>
    <row r="164" spans="1:9" ht="17.25" thickBot="1" thickTop="1">
      <c r="A164" s="194" t="s">
        <v>14</v>
      </c>
      <c r="B164" s="195"/>
      <c r="C164" s="253">
        <f>SUM(C153:C163)</f>
        <v>2326725561.34</v>
      </c>
      <c r="D164" s="253">
        <f>SUM(D153:D163)</f>
        <v>210577822.92000002</v>
      </c>
      <c r="E164" s="253">
        <f>SUM(E153:E163)</f>
        <v>218879091.43999997</v>
      </c>
      <c r="F164" s="196">
        <f>(+D164-E164)/E164</f>
        <v>-0.037926274571893175</v>
      </c>
      <c r="G164" s="271">
        <f>D164/C164</f>
        <v>0.09050393669923183</v>
      </c>
      <c r="H164" s="272">
        <f>1-G164</f>
        <v>0.9094960633007682</v>
      </c>
      <c r="I164" s="177"/>
    </row>
    <row r="165" spans="1:9" ht="15.75" thickTop="1">
      <c r="A165" s="197"/>
      <c r="B165" s="198"/>
      <c r="C165" s="254"/>
      <c r="D165" s="254"/>
      <c r="E165" s="254"/>
      <c r="F165" s="199"/>
      <c r="G165" s="273"/>
      <c r="H165" s="268"/>
      <c r="I165" s="177"/>
    </row>
    <row r="166" spans="1:9" ht="15.75">
      <c r="A166" s="184" t="s">
        <v>56</v>
      </c>
      <c r="B166" s="185">
        <f>DATE(10,7,1)</f>
        <v>3835</v>
      </c>
      <c r="C166" s="251">
        <v>37760723.43</v>
      </c>
      <c r="D166" s="251">
        <v>3268643.48</v>
      </c>
      <c r="E166" s="251">
        <v>3043115.87</v>
      </c>
      <c r="F166" s="186">
        <f aca="true" t="shared" si="33" ref="F166:F175">(+D166-E166)/E166</f>
        <v>0.07411075346270002</v>
      </c>
      <c r="G166" s="267">
        <f aca="true" t="shared" si="34" ref="G166:G175">D166/C166</f>
        <v>0.08656199307355272</v>
      </c>
      <c r="H166" s="268">
        <f aca="true" t="shared" si="35" ref="H166:H175">1-G166</f>
        <v>0.9134380069264473</v>
      </c>
      <c r="I166" s="177"/>
    </row>
    <row r="167" spans="1:9" ht="15.75">
      <c r="A167" s="184"/>
      <c r="B167" s="185">
        <f>DATE(10,8,1)</f>
        <v>3866</v>
      </c>
      <c r="C167" s="251">
        <v>36560902.56</v>
      </c>
      <c r="D167" s="251">
        <v>3051908.1</v>
      </c>
      <c r="E167" s="251">
        <v>2911803.73</v>
      </c>
      <c r="F167" s="186">
        <f t="shared" si="33"/>
        <v>0.048116007461807914</v>
      </c>
      <c r="G167" s="267">
        <f t="shared" si="34"/>
        <v>0.08347463783180739</v>
      </c>
      <c r="H167" s="268">
        <f t="shared" si="35"/>
        <v>0.9165253621681926</v>
      </c>
      <c r="I167" s="177"/>
    </row>
    <row r="168" spans="1:9" ht="15.75">
      <c r="A168" s="184"/>
      <c r="B168" s="185">
        <f>DATE(10,9,1)</f>
        <v>3897</v>
      </c>
      <c r="C168" s="251">
        <v>34661098.72</v>
      </c>
      <c r="D168" s="251">
        <v>3070072.35</v>
      </c>
      <c r="E168" s="251">
        <v>2869673.58</v>
      </c>
      <c r="F168" s="186">
        <f t="shared" si="33"/>
        <v>0.06983329790421669</v>
      </c>
      <c r="G168" s="267">
        <f t="shared" si="34"/>
        <v>0.0885740055386219</v>
      </c>
      <c r="H168" s="268">
        <f t="shared" si="35"/>
        <v>0.9114259944613781</v>
      </c>
      <c r="I168" s="177"/>
    </row>
    <row r="169" spans="1:9" ht="15.75">
      <c r="A169" s="184"/>
      <c r="B169" s="185">
        <f>DATE(10,10,1)</f>
        <v>3927</v>
      </c>
      <c r="C169" s="251">
        <v>35474180.32</v>
      </c>
      <c r="D169" s="251">
        <v>3109740.11</v>
      </c>
      <c r="E169" s="251">
        <v>2900012.7</v>
      </c>
      <c r="F169" s="186">
        <f t="shared" si="33"/>
        <v>0.07231947984227782</v>
      </c>
      <c r="G169" s="267">
        <f t="shared" si="34"/>
        <v>0.08766207089066293</v>
      </c>
      <c r="H169" s="268">
        <f t="shared" si="35"/>
        <v>0.9123379291093371</v>
      </c>
      <c r="I169" s="177"/>
    </row>
    <row r="170" spans="1:9" ht="15.75">
      <c r="A170" s="184"/>
      <c r="B170" s="185">
        <f>DATE(10,11,1)</f>
        <v>3958</v>
      </c>
      <c r="C170" s="251">
        <v>32456633.9</v>
      </c>
      <c r="D170" s="251">
        <v>2895096.26</v>
      </c>
      <c r="E170" s="251">
        <v>2766853</v>
      </c>
      <c r="F170" s="186">
        <f t="shared" si="33"/>
        <v>0.04634986390675608</v>
      </c>
      <c r="G170" s="267">
        <f t="shared" si="34"/>
        <v>0.08919890672951146</v>
      </c>
      <c r="H170" s="268">
        <f t="shared" si="35"/>
        <v>0.9108010932704885</v>
      </c>
      <c r="I170" s="177"/>
    </row>
    <row r="171" spans="1:9" ht="15.75">
      <c r="A171" s="184"/>
      <c r="B171" s="185">
        <f>DATE(10,12,1)</f>
        <v>3988</v>
      </c>
      <c r="C171" s="251">
        <v>34264150.59</v>
      </c>
      <c r="D171" s="251">
        <v>3143150.5</v>
      </c>
      <c r="E171" s="251">
        <v>2581502.42</v>
      </c>
      <c r="F171" s="186">
        <f t="shared" si="33"/>
        <v>0.21756635812102013</v>
      </c>
      <c r="G171" s="267">
        <f t="shared" si="34"/>
        <v>0.09173291752101186</v>
      </c>
      <c r="H171" s="268">
        <f t="shared" si="35"/>
        <v>0.9082670824789881</v>
      </c>
      <c r="I171" s="177"/>
    </row>
    <row r="172" spans="1:9" ht="15.75">
      <c r="A172" s="184"/>
      <c r="B172" s="185">
        <f>DATE(11,1,1)</f>
        <v>4019</v>
      </c>
      <c r="C172" s="251">
        <v>32037026.13</v>
      </c>
      <c r="D172" s="251">
        <v>2798189.51</v>
      </c>
      <c r="E172" s="251">
        <v>2860324.31</v>
      </c>
      <c r="F172" s="186">
        <f t="shared" si="33"/>
        <v>-0.02172299126458156</v>
      </c>
      <c r="G172" s="267">
        <f t="shared" si="34"/>
        <v>0.08734236126179418</v>
      </c>
      <c r="H172" s="268">
        <f t="shared" si="35"/>
        <v>0.9126576387382058</v>
      </c>
      <c r="I172" s="177"/>
    </row>
    <row r="173" spans="1:9" ht="15.75">
      <c r="A173" s="184"/>
      <c r="B173" s="185">
        <f>DATE(11,2,1)</f>
        <v>4050</v>
      </c>
      <c r="C173" s="251">
        <v>35970014.22</v>
      </c>
      <c r="D173" s="251">
        <v>3163683.71</v>
      </c>
      <c r="E173" s="251">
        <v>3127383.54</v>
      </c>
      <c r="F173" s="186">
        <f t="shared" si="33"/>
        <v>0.011607201206923256</v>
      </c>
      <c r="G173" s="267">
        <f t="shared" si="34"/>
        <v>0.08795336278296306</v>
      </c>
      <c r="H173" s="268">
        <f t="shared" si="35"/>
        <v>0.9120466372170369</v>
      </c>
      <c r="I173" s="177"/>
    </row>
    <row r="174" spans="1:9" ht="15.75">
      <c r="A174" s="184"/>
      <c r="B174" s="185">
        <f>DATE(11,3,1)</f>
        <v>4078</v>
      </c>
      <c r="C174" s="251">
        <v>39685729.56</v>
      </c>
      <c r="D174" s="251">
        <v>3472446.5</v>
      </c>
      <c r="E174" s="251">
        <v>3291349.37</v>
      </c>
      <c r="F174" s="186">
        <f t="shared" si="33"/>
        <v>0.05502215342153115</v>
      </c>
      <c r="G174" s="267">
        <f t="shared" si="34"/>
        <v>0.08749861823127335</v>
      </c>
      <c r="H174" s="268">
        <f t="shared" si="35"/>
        <v>0.9125013817687266</v>
      </c>
      <c r="I174" s="177"/>
    </row>
    <row r="175" spans="1:9" ht="15.75">
      <c r="A175" s="184"/>
      <c r="B175" s="185">
        <f>DATE(11,4,1)</f>
        <v>4109</v>
      </c>
      <c r="C175" s="251">
        <v>37026661.34</v>
      </c>
      <c r="D175" s="251">
        <v>3307654.19</v>
      </c>
      <c r="E175" s="251">
        <v>3023266.81</v>
      </c>
      <c r="F175" s="186">
        <f t="shared" si="33"/>
        <v>0.09406625278964376</v>
      </c>
      <c r="G175" s="267">
        <f t="shared" si="34"/>
        <v>0.08933168885056164</v>
      </c>
      <c r="H175" s="268">
        <f t="shared" si="35"/>
        <v>0.9106683111494384</v>
      </c>
      <c r="I175" s="177"/>
    </row>
    <row r="176" spans="1:9" ht="15.75" thickBot="1">
      <c r="A176" s="187"/>
      <c r="B176" s="188"/>
      <c r="C176" s="251"/>
      <c r="D176" s="251"/>
      <c r="E176" s="251"/>
      <c r="F176" s="186"/>
      <c r="G176" s="267"/>
      <c r="H176" s="268"/>
      <c r="I176" s="177"/>
    </row>
    <row r="177" spans="1:9" ht="17.25" thickBot="1" thickTop="1">
      <c r="A177" s="189" t="s">
        <v>14</v>
      </c>
      <c r="B177" s="175"/>
      <c r="C177" s="248">
        <f>SUM(C166:C176)</f>
        <v>355897120.77</v>
      </c>
      <c r="D177" s="248">
        <f>SUM(D166:D176)</f>
        <v>31280584.709999997</v>
      </c>
      <c r="E177" s="248">
        <f>SUM(E166:E176)</f>
        <v>29375285.329999994</v>
      </c>
      <c r="F177" s="190">
        <f>(+D177-E177)/E177</f>
        <v>0.06486062547464634</v>
      </c>
      <c r="G177" s="262">
        <f>D177/C177</f>
        <v>0.08789221065436831</v>
      </c>
      <c r="H177" s="263">
        <f>1-G177</f>
        <v>0.9121077893456317</v>
      </c>
      <c r="I177" s="177"/>
    </row>
    <row r="178" spans="1:9" ht="16.5" thickBot="1" thickTop="1">
      <c r="A178" s="191"/>
      <c r="B178" s="192"/>
      <c r="C178" s="252"/>
      <c r="D178" s="252"/>
      <c r="E178" s="252"/>
      <c r="F178" s="193"/>
      <c r="G178" s="269"/>
      <c r="H178" s="270"/>
      <c r="I178" s="177"/>
    </row>
    <row r="179" spans="1:9" ht="17.25" thickBot="1" thickTop="1">
      <c r="A179" s="207" t="s">
        <v>44</v>
      </c>
      <c r="B179" s="175"/>
      <c r="C179" s="248">
        <f>C177+C164+C138+C112+C86+C73+C47+C21+C60+C151+C34+C99+C125</f>
        <v>14635954003.03</v>
      </c>
      <c r="D179" s="248">
        <f>D177+D164+D138+D112+D86+D73+D47+D21+D60+D151+D34+D99+D125</f>
        <v>1332575557.3199997</v>
      </c>
      <c r="E179" s="248">
        <f>E177+E164+E138+E112+E86+E73+E47+E21+E60+E151+E34+E99+E125</f>
        <v>1278318161.17</v>
      </c>
      <c r="F179" s="190">
        <f>(+D179-E179)/E179</f>
        <v>0.04244435993957851</v>
      </c>
      <c r="G179" s="262">
        <f>D179/C179</f>
        <v>0.09104808316862187</v>
      </c>
      <c r="H179" s="263">
        <f>1-G179</f>
        <v>0.9089519168313781</v>
      </c>
      <c r="I179" s="177"/>
    </row>
    <row r="180" spans="1:9" ht="17.25" thickBot="1" thickTop="1">
      <c r="A180" s="207"/>
      <c r="B180" s="175"/>
      <c r="C180" s="248"/>
      <c r="D180" s="248"/>
      <c r="E180" s="248"/>
      <c r="F180" s="190"/>
      <c r="G180" s="262"/>
      <c r="H180" s="263"/>
      <c r="I180" s="177"/>
    </row>
    <row r="181" spans="1:9" ht="17.25" thickBot="1" thickTop="1">
      <c r="A181" s="207" t="s">
        <v>45</v>
      </c>
      <c r="B181" s="175"/>
      <c r="C181" s="248">
        <f>+C19+C32+C45+C58+C71+C84+C97+C110+C123+C136+C149+C162+C175</f>
        <v>1530501444.8100002</v>
      </c>
      <c r="D181" s="248">
        <f>+D19+D32+D45+D58+D71+D84+D97+D110+D123+D136+D149+D162+D175</f>
        <v>140316312.73</v>
      </c>
      <c r="E181" s="248">
        <f>+E19+E32+E45+E58+E71+E84+E97+E110+E123+E136+E149+E162+E175</f>
        <v>134196233.36999999</v>
      </c>
      <c r="F181" s="190">
        <f>(+D181-E181)/E181</f>
        <v>0.04560544812853267</v>
      </c>
      <c r="G181" s="262">
        <f>D181/C181</f>
        <v>0.09167996097345675</v>
      </c>
      <c r="H181" s="272">
        <f>1-G181</f>
        <v>0.9083200390265432</v>
      </c>
      <c r="I181" s="177"/>
    </row>
    <row r="182" spans="1:9" ht="16.5" thickTop="1">
      <c r="A182" s="208"/>
      <c r="B182" s="209"/>
      <c r="C182" s="257"/>
      <c r="D182" s="257"/>
      <c r="E182" s="257"/>
      <c r="F182" s="210"/>
      <c r="G182" s="277"/>
      <c r="H182" s="277"/>
      <c r="I182" s="170"/>
    </row>
    <row r="183" spans="1:9" ht="15.75">
      <c r="A183" s="283" t="s">
        <v>70</v>
      </c>
      <c r="B183" s="285"/>
      <c r="C183" s="286"/>
      <c r="D183" s="286"/>
      <c r="E183" s="286"/>
      <c r="F183" s="287"/>
      <c r="G183" s="284"/>
      <c r="H183" s="284"/>
      <c r="I183" s="170"/>
    </row>
    <row r="184" spans="1:9" ht="15.75">
      <c r="A184" s="303" t="s">
        <v>69</v>
      </c>
      <c r="B184" s="285"/>
      <c r="C184" s="286"/>
      <c r="D184" s="286"/>
      <c r="E184" s="286"/>
      <c r="F184" s="287"/>
      <c r="G184" s="284"/>
      <c r="H184" s="284"/>
      <c r="I184" s="170"/>
    </row>
    <row r="185" spans="1:9" ht="15.75">
      <c r="A185" s="283" t="s">
        <v>66</v>
      </c>
      <c r="B185" s="285"/>
      <c r="C185" s="286"/>
      <c r="D185" s="286"/>
      <c r="E185" s="286"/>
      <c r="F185" s="287"/>
      <c r="G185" s="284"/>
      <c r="H185" s="284"/>
      <c r="I185" s="170"/>
    </row>
    <row r="186" spans="1:9" ht="18.75">
      <c r="A186" s="211" t="s">
        <v>55</v>
      </c>
      <c r="B186" s="212"/>
      <c r="C186" s="258"/>
      <c r="D186" s="258"/>
      <c r="E186" s="258"/>
      <c r="F186" s="213"/>
      <c r="G186" s="278"/>
      <c r="H186" s="278"/>
      <c r="I186" s="170"/>
    </row>
    <row r="187" spans="1:9" ht="15.75">
      <c r="A187" s="214"/>
      <c r="B187" s="212"/>
      <c r="C187" s="258"/>
      <c r="D187" s="258"/>
      <c r="E187" s="258"/>
      <c r="F187" s="213"/>
      <c r="G187" s="284"/>
      <c r="H187" s="284"/>
      <c r="I187" s="170"/>
    </row>
    <row r="188" spans="1:9" ht="15.75">
      <c r="A188" s="81"/>
      <c r="I188" s="170"/>
    </row>
  </sheetData>
  <printOptions horizontalCentered="1"/>
  <pageMargins left="0.75" right="0.25" top="0.3194" bottom="0.2" header="0.5" footer="0.5"/>
  <pageSetup horizontalDpi="600" verticalDpi="600" orientation="landscape" scale="60" r:id="rId1"/>
  <rowBreaks count="3" manualBreakCount="3">
    <brk id="60" max="8" man="1"/>
    <brk id="112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jbrun</cp:lastModifiedBy>
  <cp:lastPrinted>2011-05-05T14:16:52Z</cp:lastPrinted>
  <dcterms:created xsi:type="dcterms:W3CDTF">2003-09-09T14:41:43Z</dcterms:created>
  <dcterms:modified xsi:type="dcterms:W3CDTF">2011-05-05T14:17:00Z</dcterms:modified>
  <cp:category/>
  <cp:version/>
  <cp:contentType/>
  <cp:contentStatus/>
</cp:coreProperties>
</file>