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STATS'!$A$1:$M$185</definedName>
    <definedName name="_xlnm.Print_Area" localSheetId="3">'SLOT STATS'!$A$1:$I$185</definedName>
    <definedName name="_xlnm.Print_Area" localSheetId="2">'TABLE STATS'!$A$1:$H$184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<sst xmlns="http://schemas.openxmlformats.org/spreadsheetml/2006/main" count="193" uniqueCount="76">
  <si>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</si>
  <si>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</si>
  <si>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</si>
  <si>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</si>
  <si>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</si>
  <si>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</si>
  <si>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</si>
  <si>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</si>
  <si>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</si>
  <si>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</si>
  <si>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</si>
  <si>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</si>
  <si>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</si>
  <si>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</si>
  <si>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</si>
  <si>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</si>
  <si>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HARRAHS M.H. 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</si>
  <si>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</si>
  <si>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</si>
  <si>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</si>
  <si>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</si>
  <si>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</si>
  <si>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</si>
  <si>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</si>
  <si>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</si>
  <si>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</si>
  <si>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</si>
  <si>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</si>
  <si>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HARRAHS MH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</si>
  <si>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</si>
  <si>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</si>
  <si>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</si>
  <si>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</si>
  <si>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</si>
  <si>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</si>
  <si>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</si>
  <si>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</si>
  <si>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</si>
  <si>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</si>
  <si>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</si>
  <si>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</si>
  <si>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MARYLAND HGTS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</si>
  <si>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</si>
  <si>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</si>
  <si>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</si>
  <si>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</si>
  <si>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</si>
  <si>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</si>
  <si>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</si>
  <si>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</si>
  <si>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</si>
  <si>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</si>
  <si>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</si>
  <si>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</si>
  <si>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</si>
  <si>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</si>
  <si>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</si>
  <si>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</si>
  <si>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</si>
  <si>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</si>
  <si>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 xml:space="preserve">LUMIERE PLACE </t>
  </si>
  <si>
    <t>RIVER CITY</t>
  </si>
  <si>
    <t xml:space="preserve">FISCAL 2012 YTD ADMISSIONS, PATRONS AND AGR SUMMARY </t>
  </si>
  <si>
    <t xml:space="preserve">RIVER CITY </t>
  </si>
  <si>
    <t>IOC - LADY LUCK *</t>
  </si>
  <si>
    <t>MARK TWAIN **</t>
  </si>
  <si>
    <t>ST. JO FRONTIER ***</t>
  </si>
  <si>
    <t>* Lady Luck boat closure 5/1/11 through 5/12/11 due to flooding.</t>
  </si>
  <si>
    <t>** Mark Twain boat closure 6/27/11 due to power outage.</t>
  </si>
  <si>
    <t>*** St. Jo Frontier boat closure 6/28/11 through 9/28/11 due to flooding.</t>
  </si>
  <si>
    <t>MONTH ENDED:   MAY 31, 2012</t>
  </si>
  <si>
    <t>(as reported on the tax remittal database dtd 6/7/12)</t>
  </si>
  <si>
    <t>FOR THE MONTH ENDED:   MAY 31, 2012</t>
  </si>
  <si>
    <t>THRU MONTH ENDED:   MAY 31, 2012</t>
  </si>
  <si>
    <t>(as reported on the tax remittal database as of 6/7/12)</t>
  </si>
  <si>
    <t>THRU MONTH ENDED:     MAY 31,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</si>
</sst>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i/>
      <sz val="12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1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9" fillId="33" borderId="11" xfId="0" applyFont="1" applyFill="1" applyBorder="1" applyAlignment="1">
      <alignment horizontal="center"/>
    </xf>
    <xf numFmtId="164" fontId="9" fillId="34" borderId="11" xfId="0" applyFont="1" applyFill="1" applyBorder="1" applyAlignment="1">
      <alignment horizontal="center"/>
    </xf>
    <xf numFmtId="164" fontId="9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0" fillId="33" borderId="13" xfId="0" applyFont="1" applyFill="1" applyBorder="1" applyAlignment="1">
      <alignment horizontal="center"/>
    </xf>
    <xf numFmtId="164" fontId="9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9" fillId="34" borderId="15" xfId="0" applyFont="1" applyFill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11" fillId="0" borderId="11" xfId="0" applyFont="1" applyBorder="1" applyAlignment="1">
      <alignment horizontal="center"/>
    </xf>
    <xf numFmtId="164" fontId="11" fillId="34" borderId="11" xfId="0" applyFont="1" applyFill="1" applyBorder="1" applyAlignment="1">
      <alignment horizontal="center"/>
    </xf>
    <xf numFmtId="164" fontId="11" fillId="34" borderId="12" xfId="0" applyFont="1" applyFill="1" applyBorder="1" applyAlignment="1">
      <alignment horizontal="center"/>
    </xf>
    <xf numFmtId="166" fontId="10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10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10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10" fillId="34" borderId="11" xfId="0" applyNumberFormat="1" applyFont="1" applyFill="1" applyBorder="1" applyAlignment="1">
      <alignment horizontal="center"/>
    </xf>
    <xf numFmtId="4" fontId="10" fillId="33" borderId="11" xfId="0" applyNumberFormat="1" applyFont="1" applyFill="1" applyBorder="1" applyAlignment="1">
      <alignment horizontal="center"/>
    </xf>
    <xf numFmtId="9" fontId="10" fillId="34" borderId="12" xfId="0" applyNumberFormat="1" applyFont="1" applyFill="1" applyBorder="1" applyAlignment="1">
      <alignment horizontal="center"/>
    </xf>
    <xf numFmtId="166" fontId="10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10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10" fillId="33" borderId="17" xfId="0" applyNumberFormat="1" applyFont="1" applyFill="1" applyBorder="1" applyAlignment="1">
      <alignment horizontal="center"/>
    </xf>
    <xf numFmtId="9" fontId="0" fillId="34" borderId="17" xfId="0" applyNumberFormat="1" applyFont="1" applyFill="1" applyBorder="1" applyAlignment="1">
      <alignment horizontal="center"/>
    </xf>
    <xf numFmtId="9" fontId="10" fillId="34" borderId="17" xfId="0" applyNumberFormat="1" applyFont="1" applyFill="1" applyBorder="1" applyAlignment="1">
      <alignment horizontal="center"/>
    </xf>
    <xf numFmtId="4" fontId="10" fillId="33" borderId="17" xfId="0" applyNumberFormat="1" applyFont="1" applyFill="1" applyBorder="1" applyAlignment="1">
      <alignment horizontal="center"/>
    </xf>
    <xf numFmtId="9" fontId="10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10" fillId="33" borderId="20" xfId="0" applyNumberFormat="1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 horizontal="center"/>
    </xf>
    <xf numFmtId="9" fontId="10" fillId="34" borderId="20" xfId="0" applyNumberFormat="1" applyFont="1" applyFill="1" applyBorder="1" applyAlignment="1">
      <alignment horizontal="center"/>
    </xf>
    <xf numFmtId="4" fontId="10" fillId="33" borderId="19" xfId="0" applyNumberFormat="1" applyFont="1" applyFill="1" applyBorder="1" applyAlignment="1">
      <alignment horizontal="center"/>
    </xf>
    <xf numFmtId="4" fontId="10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10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10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10" fillId="33" borderId="10" xfId="0" applyNumberFormat="1" applyFont="1" applyFill="1" applyBorder="1" applyAlignment="1">
      <alignment horizontal="center"/>
    </xf>
    <xf numFmtId="164" fontId="10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0" fillId="0" borderId="0" xfId="0" applyFont="1" applyAlignment="1">
      <alignment/>
    </xf>
    <xf numFmtId="17" fontId="0" fillId="0" borderId="0" xfId="0" applyNumberFormat="1" applyFont="1" applyAlignment="1">
      <alignment/>
    </xf>
    <xf numFmtId="0" fontId="12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10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0" fillId="34" borderId="13" xfId="55" applyFill="1" applyBorder="1" applyAlignment="1">
      <alignment horizontal="center"/>
      <protection/>
    </xf>
    <xf numFmtId="0" fontId="11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10" fillId="0" borderId="23" xfId="55" applyNumberFormat="1" applyFont="1" applyBorder="1" applyAlignment="1">
      <alignment horizontal="center"/>
      <protection/>
    </xf>
    <xf numFmtId="17" fontId="11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2" fillId="0" borderId="0" xfId="55" applyNumberFormat="1" applyFont="1" applyAlignment="1">
      <alignment horizontal="centerContinuous"/>
      <protection/>
    </xf>
    <xf numFmtId="0" fontId="12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1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10" fillId="34" borderId="10" xfId="55" applyNumberFormat="1" applyFont="1" applyFill="1" applyBorder="1" applyAlignment="1">
      <alignment horizontal="center"/>
      <protection/>
    </xf>
    <xf numFmtId="17" fontId="11" fillId="34" borderId="13" xfId="55" applyNumberFormat="1" applyFont="1" applyFill="1" applyBorder="1" applyAlignment="1">
      <alignment horizontal="center"/>
      <protection/>
    </xf>
    <xf numFmtId="0" fontId="11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1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8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10" fillId="33" borderId="11" xfId="54" applyNumberFormat="1" applyFont="1" applyFill="1" applyBorder="1" applyAlignment="1">
      <alignment horizontal="center"/>
      <protection/>
    </xf>
    <xf numFmtId="0" fontId="10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10" fillId="33" borderId="24" xfId="54" applyNumberFormat="1" applyFont="1" applyFill="1" applyBorder="1" applyAlignment="1">
      <alignment horizontal="center"/>
      <protection/>
    </xf>
    <xf numFmtId="0" fontId="10" fillId="33" borderId="25" xfId="54" applyNumberFormat="1" applyFont="1" applyFill="1" applyBorder="1" applyAlignment="1">
      <alignment horizontal="center"/>
      <protection/>
    </xf>
    <xf numFmtId="0" fontId="10" fillId="34" borderId="25" xfId="54" applyNumberFormat="1" applyFont="1" applyFill="1" applyBorder="1" applyAlignment="1">
      <alignment horizontal="center"/>
      <protection/>
    </xf>
    <xf numFmtId="0" fontId="11" fillId="0" borderId="13" xfId="54" applyNumberFormat="1" applyFont="1" applyBorder="1" applyAlignment="1">
      <alignment horizontal="center"/>
      <protection/>
    </xf>
    <xf numFmtId="0" fontId="11" fillId="0" borderId="14" xfId="54" applyNumberFormat="1" applyFont="1" applyBorder="1" applyAlignment="1">
      <alignment horizontal="center"/>
      <protection/>
    </xf>
    <xf numFmtId="0" fontId="11" fillId="34" borderId="14" xfId="54" applyNumberFormat="1" applyFont="1" applyFill="1" applyBorder="1" applyAlignment="1">
      <alignment horizontal="center"/>
      <protection/>
    </xf>
    <xf numFmtId="166" fontId="10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10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10" fillId="34" borderId="11" xfId="54" applyNumberFormat="1" applyFont="1" applyFill="1" applyBorder="1" applyAlignment="1">
      <alignment horizontal="center"/>
      <protection/>
    </xf>
    <xf numFmtId="166" fontId="10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10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10" fillId="34" borderId="17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/>
      <protection/>
    </xf>
    <xf numFmtId="166" fontId="10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10" fillId="33" borderId="10" xfId="54" applyNumberFormat="1" applyFont="1" applyFill="1" applyBorder="1" applyAlignment="1">
      <alignment horizontal="center"/>
      <protection/>
    </xf>
    <xf numFmtId="4" fontId="10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8" fillId="0" borderId="0" xfId="53" applyNumberFormat="1" applyFont="1" applyAlignment="1">
      <alignment/>
      <protection/>
    </xf>
    <xf numFmtId="0" fontId="10" fillId="33" borderId="10" xfId="53" applyNumberFormat="1" applyFont="1" applyFill="1" applyBorder="1" applyAlignment="1">
      <alignment horizontal="center"/>
      <protection/>
    </xf>
    <xf numFmtId="0" fontId="10" fillId="33" borderId="11" xfId="53" applyNumberFormat="1" applyFont="1" applyFill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10" fillId="33" borderId="13" xfId="53" applyNumberFormat="1" applyFont="1" applyFill="1" applyBorder="1" applyAlignment="1">
      <alignment horizontal="center"/>
      <protection/>
    </xf>
    <xf numFmtId="0" fontId="10" fillId="33" borderId="14" xfId="53" applyNumberFormat="1" applyFont="1" applyFill="1" applyBorder="1" applyAlignment="1">
      <alignment horizontal="center"/>
      <protection/>
    </xf>
    <xf numFmtId="0" fontId="10" fillId="34" borderId="14" xfId="53" applyNumberFormat="1" applyFont="1" applyFill="1" applyBorder="1" applyAlignment="1">
      <alignment horizontal="center"/>
      <protection/>
    </xf>
    <xf numFmtId="0" fontId="11" fillId="0" borderId="10" xfId="53" applyNumberFormat="1" applyFont="1" applyBorder="1" applyAlignment="1">
      <alignment horizontal="center"/>
      <protection/>
    </xf>
    <xf numFmtId="0" fontId="11" fillId="0" borderId="11" xfId="53" applyNumberFormat="1" applyFont="1" applyBorder="1" applyAlignment="1">
      <alignment horizontal="center"/>
      <protection/>
    </xf>
    <xf numFmtId="0" fontId="11" fillId="34" borderId="11" xfId="53" applyNumberFormat="1" applyFont="1" applyFill="1" applyBorder="1" applyAlignment="1">
      <alignment horizontal="center"/>
      <protection/>
    </xf>
    <xf numFmtId="166" fontId="10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10" fillId="33" borderId="10" xfId="53" applyNumberFormat="1" applyFont="1" applyFill="1" applyBorder="1" applyAlignment="1">
      <alignment/>
      <protection/>
    </xf>
    <xf numFmtId="9" fontId="10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10" fillId="33" borderId="16" xfId="53" applyNumberFormat="1" applyFont="1" applyFill="1" applyBorder="1" applyAlignment="1">
      <alignment/>
      <protection/>
    </xf>
    <xf numFmtId="0" fontId="10" fillId="33" borderId="17" xfId="53" applyNumberFormat="1" applyFont="1" applyFill="1" applyBorder="1" applyAlignment="1">
      <alignment horizontal="center"/>
      <protection/>
    </xf>
    <xf numFmtId="9" fontId="10" fillId="34" borderId="17" xfId="53" applyNumberFormat="1" applyFont="1" applyFill="1" applyBorder="1" applyAlignment="1">
      <alignment horizontal="center"/>
      <protection/>
    </xf>
    <xf numFmtId="0" fontId="10" fillId="0" borderId="13" xfId="53" applyNumberFormat="1" applyFont="1" applyBorder="1" applyAlignment="1">
      <alignment/>
      <protection/>
    </xf>
    <xf numFmtId="17" fontId="10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10" fillId="33" borderId="21" xfId="53" applyNumberFormat="1" applyFont="1" applyFill="1" applyBorder="1" applyAlignment="1">
      <alignment/>
      <protection/>
    </xf>
    <xf numFmtId="0" fontId="10" fillId="33" borderId="19" xfId="53" applyNumberFormat="1" applyFont="1" applyFill="1" applyBorder="1" applyAlignment="1">
      <alignment horizontal="center"/>
      <protection/>
    </xf>
    <xf numFmtId="166" fontId="10" fillId="33" borderId="10" xfId="53" applyNumberFormat="1" applyFont="1" applyFill="1" applyBorder="1" applyAlignment="1">
      <alignment horizontal="center"/>
      <protection/>
    </xf>
    <xf numFmtId="166" fontId="10" fillId="0" borderId="22" xfId="53" applyNumberFormat="1" applyFont="1" applyBorder="1" applyAlignment="1">
      <alignment/>
      <protection/>
    </xf>
    <xf numFmtId="0" fontId="10" fillId="0" borderId="22" xfId="53" applyNumberFormat="1" applyFont="1" applyBorder="1" applyAlignment="1">
      <alignment horizontal="center"/>
      <protection/>
    </xf>
    <xf numFmtId="4" fontId="10" fillId="0" borderId="22" xfId="53" applyNumberFormat="1" applyFont="1" applyBorder="1" applyAlignment="1">
      <alignment horizontal="center"/>
      <protection/>
    </xf>
    <xf numFmtId="0" fontId="13" fillId="0" borderId="0" xfId="53" applyNumberFormat="1" applyFont="1" applyAlignment="1">
      <alignment/>
      <protection/>
    </xf>
    <xf numFmtId="17" fontId="10" fillId="0" borderId="0" xfId="53" applyNumberFormat="1" applyFont="1" applyAlignment="1">
      <alignment horizontal="center"/>
      <protection/>
    </xf>
    <xf numFmtId="4" fontId="10" fillId="0" borderId="0" xfId="53" applyNumberFormat="1" applyFont="1" applyAlignment="1">
      <alignment horizontal="center"/>
      <protection/>
    </xf>
    <xf numFmtId="0" fontId="10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9" fillId="33" borderId="11" xfId="0" applyNumberFormat="1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10" fillId="33" borderId="11" xfId="54" applyNumberFormat="1" applyFont="1" applyFill="1" applyBorder="1" applyAlignment="1">
      <alignment horizontal="center"/>
      <protection/>
    </xf>
    <xf numFmtId="3" fontId="10" fillId="33" borderId="25" xfId="54" applyNumberFormat="1" applyFont="1" applyFill="1" applyBorder="1" applyAlignment="1">
      <alignment horizontal="center"/>
      <protection/>
    </xf>
    <xf numFmtId="3" fontId="11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10" fillId="33" borderId="17" xfId="54" applyNumberFormat="1" applyFont="1" applyFill="1" applyBorder="1" applyAlignment="1">
      <alignment horizontal="center"/>
      <protection/>
    </xf>
    <xf numFmtId="3" fontId="10" fillId="33" borderId="19" xfId="54" applyNumberFormat="1" applyFont="1" applyFill="1" applyBorder="1" applyAlignment="1">
      <alignment horizontal="center"/>
      <protection/>
    </xf>
    <xf numFmtId="3" fontId="10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10" fillId="0" borderId="0" xfId="54" applyNumberFormat="1" applyFont="1" applyAlignment="1">
      <alignment horizontal="center"/>
      <protection/>
    </xf>
    <xf numFmtId="167" fontId="10" fillId="33" borderId="11" xfId="54" applyNumberFormat="1" applyFont="1" applyFill="1" applyBorder="1" applyAlignment="1">
      <alignment horizontal="center"/>
      <protection/>
    </xf>
    <xf numFmtId="167" fontId="10" fillId="33" borderId="26" xfId="54" applyNumberFormat="1" applyFont="1" applyFill="1" applyBorder="1" applyAlignment="1">
      <alignment horizontal="center"/>
      <protection/>
    </xf>
    <xf numFmtId="167" fontId="11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10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10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10" fillId="33" borderId="11" xfId="53" applyNumberFormat="1" applyFont="1" applyFill="1" applyBorder="1" applyAlignment="1">
      <alignment horizontal="center"/>
      <protection/>
    </xf>
    <xf numFmtId="3" fontId="10" fillId="33" borderId="14" xfId="53" applyNumberFormat="1" applyFont="1" applyFill="1" applyBorder="1" applyAlignment="1">
      <alignment horizontal="center"/>
      <protection/>
    </xf>
    <xf numFmtId="3" fontId="11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10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10" fillId="33" borderId="19" xfId="53" applyNumberFormat="1" applyFont="1" applyFill="1" applyBorder="1" applyAlignment="1">
      <alignment horizontal="center"/>
      <protection/>
    </xf>
    <xf numFmtId="3" fontId="10" fillId="0" borderId="22" xfId="53" applyNumberFormat="1" applyFont="1" applyBorder="1" applyAlignment="1">
      <alignment horizontal="center"/>
      <protection/>
    </xf>
    <xf numFmtId="3" fontId="10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10" fillId="0" borderId="0" xfId="53" applyNumberFormat="1" applyFont="1" applyAlignment="1">
      <alignment horizontal="centerContinuous"/>
      <protection/>
    </xf>
    <xf numFmtId="167" fontId="10" fillId="33" borderId="11" xfId="53" applyNumberFormat="1" applyFont="1" applyFill="1" applyBorder="1" applyAlignment="1">
      <alignment horizontal="center"/>
      <protection/>
    </xf>
    <xf numFmtId="167" fontId="10" fillId="33" borderId="12" xfId="53" applyNumberFormat="1" applyFont="1" applyFill="1" applyBorder="1" applyAlignment="1">
      <alignment horizontal="center"/>
      <protection/>
    </xf>
    <xf numFmtId="167" fontId="10" fillId="33" borderId="14" xfId="53" applyNumberFormat="1" applyFont="1" applyFill="1" applyBorder="1" applyAlignment="1">
      <alignment horizontal="center"/>
      <protection/>
    </xf>
    <xf numFmtId="167" fontId="11" fillId="0" borderId="11" xfId="53" applyNumberFormat="1" applyFont="1" applyBorder="1" applyAlignment="1">
      <alignment horizontal="center"/>
      <protection/>
    </xf>
    <xf numFmtId="167" fontId="11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10" fillId="33" borderId="17" xfId="53" applyNumberFormat="1" applyFont="1" applyFill="1" applyBorder="1" applyAlignment="1">
      <alignment horizontal="center"/>
      <protection/>
    </xf>
    <xf numFmtId="167" fontId="10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10" fillId="33" borderId="19" xfId="53" applyNumberFormat="1" applyFont="1" applyFill="1" applyBorder="1" applyAlignment="1">
      <alignment horizontal="center"/>
      <protection/>
    </xf>
    <xf numFmtId="167" fontId="10" fillId="0" borderId="22" xfId="53" applyNumberFormat="1" applyFont="1" applyBorder="1" applyAlignment="1">
      <alignment horizontal="center"/>
      <protection/>
    </xf>
    <xf numFmtId="167" fontId="10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10" fillId="33" borderId="12" xfId="53" applyNumberFormat="1" applyFont="1" applyFill="1" applyBorder="1" applyAlignment="1">
      <alignment/>
      <protection/>
    </xf>
    <xf numFmtId="167" fontId="10" fillId="33" borderId="15" xfId="53" applyNumberFormat="1" applyFont="1" applyFill="1" applyBorder="1" applyAlignment="1">
      <alignment/>
      <protection/>
    </xf>
    <xf numFmtId="166" fontId="10" fillId="0" borderId="27" xfId="54" applyNumberFormat="1" applyFont="1" applyBorder="1" applyAlignment="1">
      <alignment/>
      <protection/>
    </xf>
    <xf numFmtId="166" fontId="10" fillId="0" borderId="0" xfId="53" applyNumberFormat="1" applyFont="1" applyBorder="1" applyAlignment="1">
      <alignment/>
      <protection/>
    </xf>
    <xf numFmtId="167" fontId="10" fillId="0" borderId="0" xfId="53" applyNumberFormat="1" applyFont="1" applyBorder="1" applyAlignment="1">
      <alignment horizontal="center"/>
      <protection/>
    </xf>
    <xf numFmtId="0" fontId="10" fillId="0" borderId="0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4" fontId="10" fillId="0" borderId="0" xfId="53" applyNumberFormat="1" applyFont="1" applyBorder="1" applyAlignment="1">
      <alignment horizontal="center"/>
      <protection/>
    </xf>
    <xf numFmtId="164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0" fillId="33" borderId="20" xfId="54" applyNumberFormat="1" applyFont="1" applyFill="1" applyBorder="1" applyAlignment="1">
      <alignment horizontal="center"/>
      <protection/>
    </xf>
    <xf numFmtId="3" fontId="10" fillId="33" borderId="28" xfId="54" applyNumberFormat="1" applyFont="1" applyFill="1" applyBorder="1" applyAlignment="1">
      <alignment horizontal="center"/>
      <protection/>
    </xf>
    <xf numFmtId="166" fontId="13" fillId="0" borderId="0" xfId="54" applyNumberFormat="1" applyFont="1" applyAlignment="1">
      <alignment/>
      <protection/>
    </xf>
    <xf numFmtId="166" fontId="13" fillId="0" borderId="0" xfId="0" applyNumberFormat="1" applyFont="1" applyAlignment="1">
      <alignment/>
    </xf>
    <xf numFmtId="166" fontId="10" fillId="33" borderId="16" xfId="54" applyNumberFormat="1" applyFont="1" applyFill="1" applyBorder="1" applyAlignment="1">
      <alignment horizontal="center"/>
      <protection/>
    </xf>
    <xf numFmtId="0" fontId="10" fillId="33" borderId="17" xfId="54" applyNumberFormat="1" applyFont="1" applyFill="1" applyBorder="1" applyAlignment="1">
      <alignment horizontal="center"/>
      <protection/>
    </xf>
    <xf numFmtId="167" fontId="10" fillId="33" borderId="29" xfId="54" applyNumberFormat="1" applyFont="1" applyFill="1" applyBorder="1" applyAlignment="1">
      <alignment horizontal="center"/>
      <protection/>
    </xf>
    <xf numFmtId="9" fontId="10" fillId="34" borderId="19" xfId="54" applyNumberFormat="1" applyFont="1" applyFill="1" applyBorder="1" applyAlignment="1">
      <alignment horizontal="center"/>
      <protection/>
    </xf>
    <xf numFmtId="9" fontId="10" fillId="34" borderId="30" xfId="54" applyNumberFormat="1" applyFont="1" applyFill="1" applyBorder="1" applyAlignment="1">
      <alignment horizontal="center"/>
      <protection/>
    </xf>
    <xf numFmtId="167" fontId="10" fillId="33" borderId="29" xfId="53" applyNumberFormat="1" applyFont="1" applyFill="1" applyBorder="1" applyAlignment="1">
      <alignment horizontal="center"/>
      <protection/>
    </xf>
    <xf numFmtId="3" fontId="10" fillId="33" borderId="20" xfId="53" applyNumberFormat="1" applyFont="1" applyFill="1" applyBorder="1" applyAlignment="1">
      <alignment horizontal="center"/>
      <protection/>
    </xf>
    <xf numFmtId="9" fontId="10" fillId="34" borderId="19" xfId="53" applyNumberFormat="1" applyFont="1" applyFill="1" applyBorder="1" applyAlignment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4"/>
  <sheetViews>
    <sheetView tabSelected="1" showOutlineSymbols="0" zoomScale="87" zoomScaleNormal="87" zoomScalePageLayoutView="0" workbookViewId="0" topLeftCell="A1">
      <selection activeCell="A3" sqref="A3"/>
    </sheetView>
  </sheetViews>
  <sheetFormatPr defaultColWidth="9.6640625" defaultRowHeight="15"/>
  <cols>
    <col min="1" max="1" width="21.66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205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8"/>
      <c r="L1" s="198"/>
      <c r="M1" s="2"/>
      <c r="N1" s="2"/>
      <c r="O1" s="2"/>
      <c r="P1" s="2"/>
      <c r="Q1" s="2"/>
      <c r="R1" s="2"/>
    </row>
    <row r="2" spans="1:18" ht="18" customHeight="1">
      <c r="A2" s="4" t="s">
        <v>62</v>
      </c>
      <c r="B2" s="2"/>
      <c r="C2" s="2"/>
      <c r="D2" s="2"/>
      <c r="E2" s="2"/>
      <c r="F2" s="2"/>
      <c r="G2" s="2"/>
      <c r="H2" s="2"/>
      <c r="I2" s="2"/>
      <c r="J2" s="2"/>
      <c r="K2" s="198"/>
      <c r="L2" s="198"/>
      <c r="M2" s="2"/>
      <c r="N2" s="2"/>
      <c r="O2" s="2"/>
      <c r="P2" s="2"/>
      <c r="Q2" s="2"/>
      <c r="R2" s="2"/>
    </row>
    <row r="3" spans="1:18" ht="18">
      <c r="A3" s="1" t="s">
        <v>70</v>
      </c>
      <c r="B3" s="2"/>
      <c r="C3" s="2"/>
      <c r="D3" s="2"/>
      <c r="E3" s="2"/>
      <c r="F3" s="2"/>
      <c r="G3" s="2"/>
      <c r="H3" s="2"/>
      <c r="I3" s="2"/>
      <c r="J3" s="2"/>
      <c r="K3" s="198"/>
      <c r="L3" s="198"/>
      <c r="M3" s="2"/>
      <c r="N3" s="2"/>
      <c r="O3" s="2"/>
      <c r="P3" s="2"/>
      <c r="Q3" s="2"/>
      <c r="R3" s="2"/>
    </row>
    <row r="4" spans="1:18" ht="15">
      <c r="A4" s="5" t="s">
        <v>71</v>
      </c>
      <c r="B4" s="2"/>
      <c r="C4" s="2"/>
      <c r="D4" s="2"/>
      <c r="E4" s="2"/>
      <c r="F4" s="2"/>
      <c r="G4" s="2"/>
      <c r="H4" s="2"/>
      <c r="I4" s="2"/>
      <c r="J4" s="2"/>
      <c r="K4" s="198"/>
      <c r="L4" s="198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6" t="s">
        <v>1</v>
      </c>
      <c r="J5" s="6" t="s">
        <v>1</v>
      </c>
      <c r="K5" s="198"/>
      <c r="L5" s="198"/>
      <c r="M5" s="2"/>
      <c r="N5" s="2"/>
      <c r="O5" s="2"/>
      <c r="P5" s="2"/>
      <c r="Q5" s="2"/>
      <c r="R5" s="2"/>
    </row>
    <row r="6" spans="1:18" ht="16.5" thickTop="1">
      <c r="A6" s="7"/>
      <c r="B6" s="8" t="s">
        <v>2</v>
      </c>
      <c r="C6" s="8" t="s">
        <v>1</v>
      </c>
      <c r="D6" s="8" t="s">
        <v>3</v>
      </c>
      <c r="E6" s="9"/>
      <c r="F6" s="8" t="s">
        <v>1</v>
      </c>
      <c r="G6" s="8" t="s">
        <v>3</v>
      </c>
      <c r="H6" s="9"/>
      <c r="I6" s="8" t="s">
        <v>4</v>
      </c>
      <c r="J6" s="8" t="s">
        <v>4</v>
      </c>
      <c r="K6" s="199" t="s">
        <v>1</v>
      </c>
      <c r="L6" s="199" t="s">
        <v>3</v>
      </c>
      <c r="M6" s="10"/>
      <c r="N6" s="11"/>
      <c r="R6" s="2"/>
    </row>
    <row r="7" spans="1:18" ht="16.5" thickBot="1">
      <c r="A7" s="12" t="s">
        <v>5</v>
      </c>
      <c r="B7" s="13" t="s">
        <v>6</v>
      </c>
      <c r="C7" s="13" t="s">
        <v>7</v>
      </c>
      <c r="D7" s="13" t="s">
        <v>7</v>
      </c>
      <c r="E7" s="14" t="s">
        <v>8</v>
      </c>
      <c r="F7" s="13" t="s">
        <v>9</v>
      </c>
      <c r="G7" s="13" t="s">
        <v>9</v>
      </c>
      <c r="H7" s="14" t="s">
        <v>8</v>
      </c>
      <c r="I7" s="13" t="s">
        <v>10</v>
      </c>
      <c r="J7" s="13" t="s">
        <v>11</v>
      </c>
      <c r="K7" s="200" t="s">
        <v>12</v>
      </c>
      <c r="L7" s="200" t="s">
        <v>12</v>
      </c>
      <c r="M7" s="15" t="s">
        <v>8</v>
      </c>
      <c r="N7" s="11"/>
      <c r="R7" s="2"/>
    </row>
    <row r="8" spans="1:18" ht="16.5" thickTop="1">
      <c r="A8" s="16"/>
      <c r="B8" s="17"/>
      <c r="C8" s="17"/>
      <c r="D8" s="17"/>
      <c r="E8" s="18"/>
      <c r="F8" s="17"/>
      <c r="G8" s="17"/>
      <c r="H8" s="18"/>
      <c r="I8" s="17"/>
      <c r="J8" s="17"/>
      <c r="K8" s="201"/>
      <c r="L8" s="201"/>
      <c r="M8" s="19"/>
      <c r="N8" s="11"/>
      <c r="R8" s="2"/>
    </row>
    <row r="9" spans="1:18" ht="15.75">
      <c r="A9" s="20" t="s">
        <v>13</v>
      </c>
      <c r="B9" s="21">
        <f>DATE(2011,7,1)</f>
        <v>40725</v>
      </c>
      <c r="C9" s="22">
        <v>473471</v>
      </c>
      <c r="D9" s="23">
        <v>469083</v>
      </c>
      <c r="E9" s="24">
        <f aca="true" t="shared" si="0" ref="E9:E19">(+C9-D9)/D9</f>
        <v>0.009354421285785244</v>
      </c>
      <c r="F9" s="22">
        <f>+C9-250515</f>
        <v>222956</v>
      </c>
      <c r="G9" s="22">
        <f>+D9-242053</f>
        <v>227030</v>
      </c>
      <c r="H9" s="24">
        <f aca="true" t="shared" si="1" ref="H9:H19">(+F9-G9)/G9</f>
        <v>-0.017944765009029643</v>
      </c>
      <c r="I9" s="25">
        <f aca="true" t="shared" si="2" ref="I9:I17">K9/C9</f>
        <v>35.32398632651208</v>
      </c>
      <c r="J9" s="25">
        <f aca="true" t="shared" si="3" ref="J9:J17">K9/F9</f>
        <v>75.01427694253574</v>
      </c>
      <c r="K9" s="22">
        <v>16724883.13</v>
      </c>
      <c r="L9" s="22">
        <v>16556886.7</v>
      </c>
      <c r="M9" s="26">
        <f aca="true" t="shared" si="4" ref="M9:M19">(+K9-L9)/L9</f>
        <v>0.010146619533248457</v>
      </c>
      <c r="N9" s="11"/>
      <c r="R9" s="2"/>
    </row>
    <row r="10" spans="1:18" ht="15.75">
      <c r="A10" s="20"/>
      <c r="B10" s="21">
        <f>DATE(2011,8,1)</f>
        <v>40756</v>
      </c>
      <c r="C10" s="22">
        <v>436324</v>
      </c>
      <c r="D10" s="23">
        <v>448756</v>
      </c>
      <c r="E10" s="24">
        <f t="shared" si="0"/>
        <v>-0.027703250764335184</v>
      </c>
      <c r="F10" s="22">
        <f>+C10-229479</f>
        <v>206845</v>
      </c>
      <c r="G10" s="22">
        <f>+D10-230652</f>
        <v>218104</v>
      </c>
      <c r="H10" s="24">
        <f t="shared" si="1"/>
        <v>-0.05162216190441257</v>
      </c>
      <c r="I10" s="25">
        <f t="shared" si="2"/>
        <v>36.93917325198706</v>
      </c>
      <c r="J10" s="25">
        <f t="shared" si="3"/>
        <v>77.92041301457613</v>
      </c>
      <c r="K10" s="22">
        <v>16117447.83</v>
      </c>
      <c r="L10" s="22">
        <v>15422343.1</v>
      </c>
      <c r="M10" s="26">
        <f t="shared" si="4"/>
        <v>0.045071279084693716</v>
      </c>
      <c r="N10" s="11"/>
      <c r="R10" s="2"/>
    </row>
    <row r="11" spans="1:18" ht="15.75">
      <c r="A11" s="20"/>
      <c r="B11" s="21">
        <f>DATE(2011,9,1)</f>
        <v>40787</v>
      </c>
      <c r="C11" s="22">
        <v>429086</v>
      </c>
      <c r="D11" s="23">
        <v>444138</v>
      </c>
      <c r="E11" s="24">
        <f t="shared" si="0"/>
        <v>-0.03389036740832804</v>
      </c>
      <c r="F11" s="22">
        <f>+C11-225907</f>
        <v>203179</v>
      </c>
      <c r="G11" s="22">
        <f>+D11-230380</f>
        <v>213758</v>
      </c>
      <c r="H11" s="24">
        <f t="shared" si="1"/>
        <v>-0.04949054538309677</v>
      </c>
      <c r="I11" s="25">
        <f t="shared" si="2"/>
        <v>36.73410966566143</v>
      </c>
      <c r="J11" s="25">
        <f t="shared" si="3"/>
        <v>77.57736862569459</v>
      </c>
      <c r="K11" s="22">
        <v>15762092.18</v>
      </c>
      <c r="L11" s="22">
        <v>15585279.52</v>
      </c>
      <c r="M11" s="26">
        <f t="shared" si="4"/>
        <v>0.011344850105068898</v>
      </c>
      <c r="N11" s="11"/>
      <c r="R11" s="2"/>
    </row>
    <row r="12" spans="1:18" ht="15.75">
      <c r="A12" s="20"/>
      <c r="B12" s="21">
        <f>DATE(2011,10,1)</f>
        <v>40817</v>
      </c>
      <c r="C12" s="22">
        <v>424747</v>
      </c>
      <c r="D12" s="23">
        <v>456903</v>
      </c>
      <c r="E12" s="24">
        <f t="shared" si="0"/>
        <v>-0.07037817654950831</v>
      </c>
      <c r="F12" s="22">
        <f>+C12-223781</f>
        <v>200966</v>
      </c>
      <c r="G12" s="22">
        <f>+D12-240004</f>
        <v>216899</v>
      </c>
      <c r="H12" s="24">
        <f t="shared" si="1"/>
        <v>-0.07345815333404027</v>
      </c>
      <c r="I12" s="25">
        <f t="shared" si="2"/>
        <v>37.167463266367974</v>
      </c>
      <c r="J12" s="25">
        <f t="shared" si="3"/>
        <v>78.55442472856105</v>
      </c>
      <c r="K12" s="22">
        <v>15786768.52</v>
      </c>
      <c r="L12" s="22">
        <v>16176648.04</v>
      </c>
      <c r="M12" s="26">
        <f t="shared" si="4"/>
        <v>-0.02410137866855633</v>
      </c>
      <c r="N12" s="11"/>
      <c r="R12" s="2"/>
    </row>
    <row r="13" spans="1:18" ht="15.75">
      <c r="A13" s="20"/>
      <c r="B13" s="21">
        <f>DATE(2011,11,1)</f>
        <v>40848</v>
      </c>
      <c r="C13" s="22">
        <v>416167</v>
      </c>
      <c r="D13" s="23">
        <v>418716</v>
      </c>
      <c r="E13" s="24">
        <f t="shared" si="0"/>
        <v>-0.006087658460627251</v>
      </c>
      <c r="F13" s="22">
        <f>+C13-220681</f>
        <v>195486</v>
      </c>
      <c r="G13" s="22">
        <f>+D13-219255</f>
        <v>199461</v>
      </c>
      <c r="H13" s="24">
        <f t="shared" si="1"/>
        <v>-0.01992870786770346</v>
      </c>
      <c r="I13" s="25">
        <f t="shared" si="2"/>
        <v>37.502743562079644</v>
      </c>
      <c r="J13" s="25">
        <f t="shared" si="3"/>
        <v>79.83898734436225</v>
      </c>
      <c r="K13" s="22">
        <v>15607404.28</v>
      </c>
      <c r="L13" s="22">
        <v>15124305.96</v>
      </c>
      <c r="M13" s="26">
        <f t="shared" si="4"/>
        <v>0.03194185050723467</v>
      </c>
      <c r="N13" s="11"/>
      <c r="R13" s="2"/>
    </row>
    <row r="14" spans="1:18" ht="15.75">
      <c r="A14" s="20"/>
      <c r="B14" s="21">
        <f>DATE(2011,12,1)</f>
        <v>40878</v>
      </c>
      <c r="C14" s="22">
        <v>458367</v>
      </c>
      <c r="D14" s="23">
        <v>443934</v>
      </c>
      <c r="E14" s="24">
        <f t="shared" si="0"/>
        <v>0.032511589560610364</v>
      </c>
      <c r="F14" s="22">
        <f>+C14-242651</f>
        <v>215716</v>
      </c>
      <c r="G14" s="22">
        <f>+D14-233658</f>
        <v>210276</v>
      </c>
      <c r="H14" s="24">
        <f t="shared" si="1"/>
        <v>0.02587076033403717</v>
      </c>
      <c r="I14" s="25">
        <f t="shared" si="2"/>
        <v>36.446082811371674</v>
      </c>
      <c r="J14" s="25">
        <f t="shared" si="3"/>
        <v>77.44294183092585</v>
      </c>
      <c r="K14" s="22">
        <v>16705681.64</v>
      </c>
      <c r="L14" s="22">
        <v>16360918.33</v>
      </c>
      <c r="M14" s="26">
        <f t="shared" si="4"/>
        <v>0.021072369108268783</v>
      </c>
      <c r="N14" s="11"/>
      <c r="R14" s="2"/>
    </row>
    <row r="15" spans="1:18" ht="15.75">
      <c r="A15" s="20"/>
      <c r="B15" s="21">
        <f>DATE(2012,1,1)</f>
        <v>40909</v>
      </c>
      <c r="C15" s="22">
        <v>440582</v>
      </c>
      <c r="D15" s="23">
        <v>419308</v>
      </c>
      <c r="E15" s="24">
        <f t="shared" si="0"/>
        <v>0.05073597451038377</v>
      </c>
      <c r="F15" s="22">
        <f>+C15-236255</f>
        <v>204327</v>
      </c>
      <c r="G15" s="22">
        <f>+D15-229700</f>
        <v>189608</v>
      </c>
      <c r="H15" s="24">
        <f t="shared" si="1"/>
        <v>0.07762858107252858</v>
      </c>
      <c r="I15" s="25">
        <f t="shared" si="2"/>
        <v>35.979825798602754</v>
      </c>
      <c r="J15" s="25">
        <f t="shared" si="3"/>
        <v>77.58183504872092</v>
      </c>
      <c r="K15" s="22">
        <v>15852063.61</v>
      </c>
      <c r="L15" s="22">
        <v>14745434.31</v>
      </c>
      <c r="M15" s="26">
        <f t="shared" si="4"/>
        <v>0.07504894577771164</v>
      </c>
      <c r="N15" s="11"/>
      <c r="R15" s="2"/>
    </row>
    <row r="16" spans="1:18" ht="15.75">
      <c r="A16" s="20"/>
      <c r="B16" s="21">
        <f>DATE(2012,2,1)</f>
        <v>40940</v>
      </c>
      <c r="C16" s="22">
        <v>373678</v>
      </c>
      <c r="D16" s="23">
        <v>419072</v>
      </c>
      <c r="E16" s="24">
        <f t="shared" si="0"/>
        <v>-0.10832028863775199</v>
      </c>
      <c r="F16" s="22">
        <f>+C16-194734</f>
        <v>178944</v>
      </c>
      <c r="G16" s="22">
        <f>+D16-224242</f>
        <v>194830</v>
      </c>
      <c r="H16" s="24">
        <f t="shared" si="1"/>
        <v>-0.08153775085972387</v>
      </c>
      <c r="I16" s="25">
        <f t="shared" si="2"/>
        <v>39.36312183216566</v>
      </c>
      <c r="J16" s="25">
        <f t="shared" si="3"/>
        <v>82.19964145207439</v>
      </c>
      <c r="K16" s="22">
        <v>14709132.64</v>
      </c>
      <c r="L16" s="22">
        <v>15943658.12</v>
      </c>
      <c r="M16" s="26">
        <f t="shared" si="4"/>
        <v>-0.07743050375944706</v>
      </c>
      <c r="N16" s="11"/>
      <c r="R16" s="2"/>
    </row>
    <row r="17" spans="1:18" ht="15.75">
      <c r="A17" s="20"/>
      <c r="B17" s="21">
        <f>DATE(2012,3,1)</f>
        <v>40969</v>
      </c>
      <c r="C17" s="22">
        <v>356956</v>
      </c>
      <c r="D17" s="23">
        <v>469395</v>
      </c>
      <c r="E17" s="24">
        <f t="shared" si="0"/>
        <v>-0.23954025926991127</v>
      </c>
      <c r="F17" s="22">
        <f>+C17-189240</f>
        <v>167716</v>
      </c>
      <c r="G17" s="22">
        <f>+D17-253889</f>
        <v>215506</v>
      </c>
      <c r="H17" s="24">
        <f t="shared" si="1"/>
        <v>-0.2217571668538231</v>
      </c>
      <c r="I17" s="25">
        <f t="shared" si="2"/>
        <v>39.25975618843779</v>
      </c>
      <c r="J17" s="25">
        <f t="shared" si="3"/>
        <v>83.55795231224212</v>
      </c>
      <c r="K17" s="22">
        <v>14014005.53</v>
      </c>
      <c r="L17" s="22">
        <v>17669384.6</v>
      </c>
      <c r="M17" s="26">
        <f t="shared" si="4"/>
        <v>-0.20687642228354697</v>
      </c>
      <c r="N17" s="11"/>
      <c r="R17" s="2"/>
    </row>
    <row r="18" spans="1:18" ht="15.75">
      <c r="A18" s="20"/>
      <c r="B18" s="21">
        <f>DATE(2012,4,1)</f>
        <v>41000</v>
      </c>
      <c r="C18" s="22">
        <v>322240</v>
      </c>
      <c r="D18" s="23">
        <v>440864</v>
      </c>
      <c r="E18" s="24">
        <f t="shared" si="0"/>
        <v>-0.26907164114103216</v>
      </c>
      <c r="F18" s="22">
        <f>C18-169792</f>
        <v>152448</v>
      </c>
      <c r="G18" s="22">
        <f>D18-235268</f>
        <v>205596</v>
      </c>
      <c r="H18" s="24">
        <f t="shared" si="1"/>
        <v>-0.25850697484386853</v>
      </c>
      <c r="I18" s="25">
        <f>K18/C18</f>
        <v>38.62824910004965</v>
      </c>
      <c r="J18" s="25">
        <f>K18/F18</f>
        <v>81.65123182986986</v>
      </c>
      <c r="K18" s="22">
        <v>12447566.99</v>
      </c>
      <c r="L18" s="22">
        <v>17418762.34</v>
      </c>
      <c r="M18" s="26">
        <f t="shared" si="4"/>
        <v>-0.285393144068811</v>
      </c>
      <c r="N18" s="11"/>
      <c r="R18" s="2"/>
    </row>
    <row r="19" spans="1:18" ht="15.75">
      <c r="A19" s="20"/>
      <c r="B19" s="21">
        <f>DATE(2012,5,1)</f>
        <v>41030</v>
      </c>
      <c r="C19" s="22">
        <v>330767</v>
      </c>
      <c r="D19" s="23">
        <v>436578</v>
      </c>
      <c r="E19" s="24">
        <f t="shared" si="0"/>
        <v>-0.24236448011580977</v>
      </c>
      <c r="F19" s="22">
        <f>+C19-172016</f>
        <v>158751</v>
      </c>
      <c r="G19" s="22">
        <f>+D19-230880</f>
        <v>205698</v>
      </c>
      <c r="H19" s="24">
        <f t="shared" si="1"/>
        <v>-0.228232651751597</v>
      </c>
      <c r="I19" s="25">
        <f>K19/C19</f>
        <v>38.73416332342706</v>
      </c>
      <c r="J19" s="25">
        <f>K19/F19</f>
        <v>80.70489634710962</v>
      </c>
      <c r="K19" s="22">
        <v>12811983</v>
      </c>
      <c r="L19" s="22">
        <v>16817122.77</v>
      </c>
      <c r="M19" s="26">
        <f t="shared" si="4"/>
        <v>-0.2381584427239095</v>
      </c>
      <c r="N19" s="11"/>
      <c r="R19" s="2"/>
    </row>
    <row r="20" spans="1:18" ht="16.5" thickBot="1">
      <c r="A20" s="20"/>
      <c r="B20" s="21"/>
      <c r="C20" s="22"/>
      <c r="D20" s="22"/>
      <c r="E20" s="24"/>
      <c r="F20" s="22"/>
      <c r="G20" s="22"/>
      <c r="H20" s="24"/>
      <c r="I20" s="25"/>
      <c r="J20" s="25"/>
      <c r="K20" s="22"/>
      <c r="L20" s="22"/>
      <c r="M20" s="26"/>
      <c r="N20" s="11"/>
      <c r="R20" s="2"/>
    </row>
    <row r="21" spans="1:18" ht="17.25" thickBot="1" thickTop="1">
      <c r="A21" s="27" t="s">
        <v>14</v>
      </c>
      <c r="B21" s="28"/>
      <c r="C21" s="29">
        <f>SUM(C9:C20)</f>
        <v>4462385</v>
      </c>
      <c r="D21" s="29">
        <f>SUM(D9:D20)</f>
        <v>4866747</v>
      </c>
      <c r="E21" s="30">
        <f>(+C21-D21)/D21</f>
        <v>-0.08308671069196734</v>
      </c>
      <c r="F21" s="29">
        <f>SUM(F9:F20)</f>
        <v>2107334</v>
      </c>
      <c r="G21" s="29">
        <f>SUM(G9:G20)</f>
        <v>2296766</v>
      </c>
      <c r="H21" s="31">
        <f>(+F21-G21)/G21</f>
        <v>-0.082477709962617</v>
      </c>
      <c r="I21" s="32">
        <f>K21/C21</f>
        <v>37.32063220676835</v>
      </c>
      <c r="J21" s="32">
        <f>K21/F21</f>
        <v>79.02830275124873</v>
      </c>
      <c r="K21" s="29">
        <f>SUM(K9:K20)</f>
        <v>166539029.35</v>
      </c>
      <c r="L21" s="29">
        <f>SUM(L9:L20)</f>
        <v>177820743.79000002</v>
      </c>
      <c r="M21" s="33">
        <f>(+K21-L21)/L21</f>
        <v>-0.06344431026181811</v>
      </c>
      <c r="N21" s="11"/>
      <c r="R21" s="2"/>
    </row>
    <row r="22" spans="1:18" ht="16.5" thickTop="1">
      <c r="A22" s="16"/>
      <c r="B22" s="17"/>
      <c r="C22" s="17"/>
      <c r="D22" s="17"/>
      <c r="E22" s="18"/>
      <c r="F22" s="17"/>
      <c r="G22" s="17"/>
      <c r="H22" s="18"/>
      <c r="I22" s="17"/>
      <c r="J22" s="17"/>
      <c r="K22" s="201"/>
      <c r="L22" s="201"/>
      <c r="M22" s="19"/>
      <c r="N22" s="11"/>
      <c r="R22" s="2"/>
    </row>
    <row r="23" spans="1:18" ht="15.75">
      <c r="A23" s="20" t="s">
        <v>15</v>
      </c>
      <c r="B23" s="21">
        <f>DATE(2011,7,1)</f>
        <v>40725</v>
      </c>
      <c r="C23" s="22">
        <v>205074</v>
      </c>
      <c r="D23" s="22">
        <v>204695</v>
      </c>
      <c r="E23" s="24">
        <f aca="true" t="shared" si="5" ref="E23:E33">(+C23-D23)/D23</f>
        <v>0.0018515352109235693</v>
      </c>
      <c r="F23" s="22">
        <f>+C23-101149</f>
        <v>103925</v>
      </c>
      <c r="G23" s="22">
        <f>+D23-94751</f>
        <v>109944</v>
      </c>
      <c r="H23" s="24">
        <f aca="true" t="shared" si="6" ref="H23:H33">(+F23-G23)/G23</f>
        <v>-0.05474605253583643</v>
      </c>
      <c r="I23" s="25">
        <f aca="true" t="shared" si="7" ref="I23:I31">K23/C23</f>
        <v>36.70412738816232</v>
      </c>
      <c r="J23" s="25">
        <f aca="true" t="shared" si="8" ref="J23:J31">K23/F23</f>
        <v>72.42782987731538</v>
      </c>
      <c r="K23" s="22">
        <v>7527062.22</v>
      </c>
      <c r="L23" s="22">
        <v>7589105.09</v>
      </c>
      <c r="M23" s="26">
        <f aca="true" t="shared" si="9" ref="M23:M33">(+K23-L23)/L23</f>
        <v>-0.008175255087948731</v>
      </c>
      <c r="N23" s="11"/>
      <c r="R23" s="2"/>
    </row>
    <row r="24" spans="1:18" ht="15.75">
      <c r="A24" s="20"/>
      <c r="B24" s="21">
        <f>DATE(2011,8,1)</f>
        <v>40756</v>
      </c>
      <c r="C24" s="22">
        <v>186632</v>
      </c>
      <c r="D24" s="22">
        <v>206163</v>
      </c>
      <c r="E24" s="24">
        <f t="shared" si="5"/>
        <v>-0.09473571882442533</v>
      </c>
      <c r="F24" s="22">
        <f>+C24-90725</f>
        <v>95907</v>
      </c>
      <c r="G24" s="22">
        <f>+D24-95050</f>
        <v>111113</v>
      </c>
      <c r="H24" s="24">
        <f t="shared" si="6"/>
        <v>-0.13685167352155014</v>
      </c>
      <c r="I24" s="25">
        <f t="shared" si="7"/>
        <v>37.21124405246689</v>
      </c>
      <c r="J24" s="25">
        <f t="shared" si="8"/>
        <v>72.41190841127343</v>
      </c>
      <c r="K24" s="22">
        <v>6944808.9</v>
      </c>
      <c r="L24" s="22">
        <v>6879032.27</v>
      </c>
      <c r="M24" s="26">
        <f t="shared" si="9"/>
        <v>0.009561901648122494</v>
      </c>
      <c r="N24" s="11"/>
      <c r="R24" s="2"/>
    </row>
    <row r="25" spans="1:18" ht="15.75">
      <c r="A25" s="20"/>
      <c r="B25" s="21">
        <f>DATE(2011,9,1)</f>
        <v>40787</v>
      </c>
      <c r="C25" s="22">
        <v>178911</v>
      </c>
      <c r="D25" s="22">
        <v>191650</v>
      </c>
      <c r="E25" s="24">
        <f t="shared" si="5"/>
        <v>-0.06647012783720324</v>
      </c>
      <c r="F25" s="22">
        <f>+C25-86413</f>
        <v>92498</v>
      </c>
      <c r="G25" s="22">
        <f>+D25-88765</f>
        <v>102885</v>
      </c>
      <c r="H25" s="24">
        <f t="shared" si="6"/>
        <v>-0.10095737959858093</v>
      </c>
      <c r="I25" s="25">
        <f t="shared" si="7"/>
        <v>38.38859589404788</v>
      </c>
      <c r="J25" s="25">
        <f t="shared" si="8"/>
        <v>74.25179009275877</v>
      </c>
      <c r="K25" s="22">
        <v>6868142.08</v>
      </c>
      <c r="L25" s="22">
        <v>6851980.91</v>
      </c>
      <c r="M25" s="26">
        <f t="shared" si="9"/>
        <v>0.002358612817559634</v>
      </c>
      <c r="N25" s="11"/>
      <c r="R25" s="2"/>
    </row>
    <row r="26" spans="1:18" ht="15.75">
      <c r="A26" s="20"/>
      <c r="B26" s="21">
        <f>DATE(2011,10,1)</f>
        <v>40817</v>
      </c>
      <c r="C26" s="22">
        <v>175552</v>
      </c>
      <c r="D26" s="22">
        <v>196993</v>
      </c>
      <c r="E26" s="24">
        <f t="shared" si="5"/>
        <v>-0.10884143091378881</v>
      </c>
      <c r="F26" s="22">
        <f>+C26-85872</f>
        <v>89680</v>
      </c>
      <c r="G26" s="22">
        <f>+D26-91377</f>
        <v>105616</v>
      </c>
      <c r="H26" s="24">
        <f t="shared" si="6"/>
        <v>-0.150886229359188</v>
      </c>
      <c r="I26" s="25">
        <f t="shared" si="7"/>
        <v>37.86198909724754</v>
      </c>
      <c r="J26" s="25">
        <f t="shared" si="8"/>
        <v>74.11627910347904</v>
      </c>
      <c r="K26" s="22">
        <v>6646747.91</v>
      </c>
      <c r="L26" s="22">
        <v>7330191.67</v>
      </c>
      <c r="M26" s="26">
        <f t="shared" si="9"/>
        <v>-0.09323681982247536</v>
      </c>
      <c r="N26" s="11"/>
      <c r="R26" s="2"/>
    </row>
    <row r="27" spans="1:18" ht="15.75">
      <c r="A27" s="20"/>
      <c r="B27" s="21">
        <f>DATE(2011,11,1)</f>
        <v>40848</v>
      </c>
      <c r="C27" s="22">
        <v>160778</v>
      </c>
      <c r="D27" s="22">
        <v>176985</v>
      </c>
      <c r="E27" s="24">
        <f t="shared" si="5"/>
        <v>-0.0915727321524423</v>
      </c>
      <c r="F27" s="22">
        <f>+C27-78418</f>
        <v>82360</v>
      </c>
      <c r="G27" s="22">
        <f>+D27-82565</f>
        <v>94420</v>
      </c>
      <c r="H27" s="24">
        <f t="shared" si="6"/>
        <v>-0.12772717644566828</v>
      </c>
      <c r="I27" s="25">
        <f t="shared" si="7"/>
        <v>39.812066140889925</v>
      </c>
      <c r="J27" s="25">
        <f t="shared" si="8"/>
        <v>77.71860575522098</v>
      </c>
      <c r="K27" s="22">
        <v>6400904.37</v>
      </c>
      <c r="L27" s="22">
        <v>6588033.27</v>
      </c>
      <c r="M27" s="26">
        <f t="shared" si="9"/>
        <v>-0.028404364752092313</v>
      </c>
      <c r="N27" s="11"/>
      <c r="R27" s="2"/>
    </row>
    <row r="28" spans="1:18" ht="15.75">
      <c r="A28" s="20"/>
      <c r="B28" s="21">
        <f>DATE(2011,12,1)</f>
        <v>40878</v>
      </c>
      <c r="C28" s="22">
        <v>171644</v>
      </c>
      <c r="D28" s="22">
        <v>163344</v>
      </c>
      <c r="E28" s="24">
        <f t="shared" si="5"/>
        <v>0.0508130081300813</v>
      </c>
      <c r="F28" s="22">
        <f>+C28-84933</f>
        <v>86711</v>
      </c>
      <c r="G28" s="22">
        <f>+D28-79994</f>
        <v>83350</v>
      </c>
      <c r="H28" s="24">
        <f t="shared" si="6"/>
        <v>0.04032393521295741</v>
      </c>
      <c r="I28" s="25">
        <f t="shared" si="7"/>
        <v>39.77035923189858</v>
      </c>
      <c r="J28" s="25">
        <f t="shared" si="8"/>
        <v>78.72523140086032</v>
      </c>
      <c r="K28" s="22">
        <v>6826343.54</v>
      </c>
      <c r="L28" s="22">
        <v>6149433.45</v>
      </c>
      <c r="M28" s="26">
        <f t="shared" si="9"/>
        <v>0.11007682179242054</v>
      </c>
      <c r="N28" s="11"/>
      <c r="R28" s="2"/>
    </row>
    <row r="29" spans="1:18" ht="15.75">
      <c r="A29" s="20"/>
      <c r="B29" s="21">
        <f>DATE(2012,1,1)</f>
        <v>40909</v>
      </c>
      <c r="C29" s="22">
        <v>173970</v>
      </c>
      <c r="D29" s="22">
        <v>163048</v>
      </c>
      <c r="E29" s="24">
        <f t="shared" si="5"/>
        <v>0.06698640891025956</v>
      </c>
      <c r="F29" s="22">
        <f>+C29-85943</f>
        <v>88027</v>
      </c>
      <c r="G29" s="22">
        <f>+D29-79699</f>
        <v>83349</v>
      </c>
      <c r="H29" s="24">
        <f t="shared" si="6"/>
        <v>0.056125448415697846</v>
      </c>
      <c r="I29" s="25">
        <f t="shared" si="7"/>
        <v>39.32283790308674</v>
      </c>
      <c r="J29" s="25">
        <f t="shared" si="8"/>
        <v>77.71472514114988</v>
      </c>
      <c r="K29" s="22">
        <v>6840994.11</v>
      </c>
      <c r="L29" s="22">
        <v>6085927.17</v>
      </c>
      <c r="M29" s="26">
        <f t="shared" si="9"/>
        <v>0.12406769238416641</v>
      </c>
      <c r="N29" s="11"/>
      <c r="R29" s="2"/>
    </row>
    <row r="30" spans="1:18" ht="15.75">
      <c r="A30" s="20"/>
      <c r="B30" s="21">
        <f>DATE(2012,2,1)</f>
        <v>40940</v>
      </c>
      <c r="C30" s="22">
        <v>192950</v>
      </c>
      <c r="D30" s="22">
        <v>180103</v>
      </c>
      <c r="E30" s="24">
        <f t="shared" si="5"/>
        <v>0.07133140480724919</v>
      </c>
      <c r="F30" s="22">
        <f>+C30-95302</f>
        <v>97648</v>
      </c>
      <c r="G30" s="22">
        <f>+D30-89689</f>
        <v>90414</v>
      </c>
      <c r="H30" s="24">
        <f t="shared" si="6"/>
        <v>0.0800097330059504</v>
      </c>
      <c r="I30" s="25">
        <f t="shared" si="7"/>
        <v>38.88782083441306</v>
      </c>
      <c r="J30" s="25">
        <f t="shared" si="8"/>
        <v>76.84135906521384</v>
      </c>
      <c r="K30" s="22">
        <v>7503405.03</v>
      </c>
      <c r="L30" s="22">
        <v>6636792.36</v>
      </c>
      <c r="M30" s="26">
        <f t="shared" si="9"/>
        <v>0.1305770352592438</v>
      </c>
      <c r="N30" s="11"/>
      <c r="R30" s="2"/>
    </row>
    <row r="31" spans="1:18" ht="15.75">
      <c r="A31" s="20"/>
      <c r="B31" s="21">
        <f>DATE(2012,3,1)</f>
        <v>40969</v>
      </c>
      <c r="C31" s="22">
        <v>205972</v>
      </c>
      <c r="D31" s="22">
        <v>197019</v>
      </c>
      <c r="E31" s="24">
        <f t="shared" si="5"/>
        <v>0.04544231774600419</v>
      </c>
      <c r="F31" s="22">
        <f>+C31-102346</f>
        <v>103626</v>
      </c>
      <c r="G31" s="22">
        <f>+D31-97561</f>
        <v>99458</v>
      </c>
      <c r="H31" s="24">
        <f t="shared" si="6"/>
        <v>0.04190713668080999</v>
      </c>
      <c r="I31" s="25">
        <f t="shared" si="7"/>
        <v>38.127262637640065</v>
      </c>
      <c r="J31" s="25">
        <f t="shared" si="8"/>
        <v>75.78357304151467</v>
      </c>
      <c r="K31" s="22">
        <v>7853148.54</v>
      </c>
      <c r="L31" s="22">
        <v>7321042.51</v>
      </c>
      <c r="M31" s="26">
        <f t="shared" si="9"/>
        <v>0.07268172931289266</v>
      </c>
      <c r="N31" s="11"/>
      <c r="R31" s="2"/>
    </row>
    <row r="32" spans="1:18" ht="15.75">
      <c r="A32" s="20"/>
      <c r="B32" s="21">
        <f>DATE(2012,4,1)</f>
        <v>41000</v>
      </c>
      <c r="C32" s="22">
        <v>182667</v>
      </c>
      <c r="D32" s="22">
        <v>186976</v>
      </c>
      <c r="E32" s="24">
        <f t="shared" si="5"/>
        <v>-0.023045738490501455</v>
      </c>
      <c r="F32" s="22">
        <f>C32-89828</f>
        <v>92839</v>
      </c>
      <c r="G32" s="22">
        <f>D32-92947</f>
        <v>94029</v>
      </c>
      <c r="H32" s="24">
        <f t="shared" si="6"/>
        <v>-0.012655670059237043</v>
      </c>
      <c r="I32" s="25">
        <f>K32/C32</f>
        <v>37.22370450053923</v>
      </c>
      <c r="J32" s="25">
        <f>K32/F32</f>
        <v>73.24015155268799</v>
      </c>
      <c r="K32" s="22">
        <v>6799542.43</v>
      </c>
      <c r="L32" s="22">
        <v>7084105.02</v>
      </c>
      <c r="M32" s="26">
        <f t="shared" si="9"/>
        <v>-0.04016916592803418</v>
      </c>
      <c r="N32" s="11"/>
      <c r="R32" s="2"/>
    </row>
    <row r="33" spans="1:18" ht="15.75">
      <c r="A33" s="20"/>
      <c r="B33" s="21">
        <f>DATE(2012,5,1)</f>
        <v>41030</v>
      </c>
      <c r="C33" s="22">
        <v>185517</v>
      </c>
      <c r="D33" s="22">
        <v>185291</v>
      </c>
      <c r="E33" s="24">
        <f t="shared" si="5"/>
        <v>0.0012197030616705614</v>
      </c>
      <c r="F33" s="22">
        <f>+C33-90131</f>
        <v>95386</v>
      </c>
      <c r="G33" s="22">
        <f>+D33-91016</f>
        <v>94275</v>
      </c>
      <c r="H33" s="24">
        <f t="shared" si="6"/>
        <v>0.011784672500662953</v>
      </c>
      <c r="I33" s="25">
        <f>K33/C33</f>
        <v>37.435639806594544</v>
      </c>
      <c r="J33" s="25">
        <f>K33/F33</f>
        <v>72.80887750822971</v>
      </c>
      <c r="K33" s="22">
        <v>6944947.59</v>
      </c>
      <c r="L33" s="22">
        <v>6905054.97</v>
      </c>
      <c r="M33" s="26">
        <f t="shared" si="9"/>
        <v>0.005777306650463944</v>
      </c>
      <c r="N33" s="11"/>
      <c r="R33" s="2"/>
    </row>
    <row r="34" spans="1:18" ht="15.75" customHeight="1" thickBot="1">
      <c r="A34" s="20"/>
      <c r="B34" s="21"/>
      <c r="C34" s="22"/>
      <c r="D34" s="22"/>
      <c r="E34" s="24"/>
      <c r="F34" s="22"/>
      <c r="G34" s="22"/>
      <c r="H34" s="24"/>
      <c r="I34" s="25"/>
      <c r="J34" s="25"/>
      <c r="K34" s="22"/>
      <c r="L34" s="22"/>
      <c r="M34" s="26"/>
      <c r="N34" s="11"/>
      <c r="R34" s="2"/>
    </row>
    <row r="35" spans="1:18" ht="15.75" customHeight="1" thickBot="1" thickTop="1">
      <c r="A35" s="27" t="s">
        <v>14</v>
      </c>
      <c r="B35" s="28"/>
      <c r="C35" s="29">
        <f>SUM(C23:C34)</f>
        <v>2019667</v>
      </c>
      <c r="D35" s="29">
        <f>SUM(D23:D34)</f>
        <v>2052267</v>
      </c>
      <c r="E35" s="30">
        <f>(+C35-D35)/D35</f>
        <v>-0.015884872679821874</v>
      </c>
      <c r="F35" s="29">
        <f>SUM(F23:F34)</f>
        <v>1028607</v>
      </c>
      <c r="G35" s="29">
        <f>SUM(G23:G34)</f>
        <v>1068853</v>
      </c>
      <c r="H35" s="31">
        <f>(+F35-G35)/G35</f>
        <v>-0.03765344719994237</v>
      </c>
      <c r="I35" s="32">
        <f>K35/C35</f>
        <v>38.20236044852938</v>
      </c>
      <c r="J35" s="32">
        <f>K35/F35</f>
        <v>75.01022909624375</v>
      </c>
      <c r="K35" s="29">
        <f>SUM(K23:K34)</f>
        <v>77156046.72</v>
      </c>
      <c r="L35" s="29">
        <f>SUM(L23:L34)</f>
        <v>75420698.69</v>
      </c>
      <c r="M35" s="33">
        <f>(+K35-L35)/L35</f>
        <v>0.02300890949224381</v>
      </c>
      <c r="N35" s="11"/>
      <c r="R35" s="2"/>
    </row>
    <row r="36" spans="1:18" ht="15.75" customHeight="1" thickTop="1">
      <c r="A36" s="34"/>
      <c r="B36" s="35"/>
      <c r="C36" s="36"/>
      <c r="D36" s="36"/>
      <c r="E36" s="30"/>
      <c r="F36" s="36"/>
      <c r="G36" s="36"/>
      <c r="H36" s="30"/>
      <c r="I36" s="37"/>
      <c r="J36" s="37"/>
      <c r="K36" s="36"/>
      <c r="L36" s="36"/>
      <c r="M36" s="38"/>
      <c r="N36" s="11"/>
      <c r="R36" s="2"/>
    </row>
    <row r="37" spans="1:18" ht="15.75" customHeight="1">
      <c r="A37" s="20" t="s">
        <v>64</v>
      </c>
      <c r="B37" s="21">
        <f>DATE(2011,7,1)</f>
        <v>40725</v>
      </c>
      <c r="C37" s="22">
        <v>87027</v>
      </c>
      <c r="D37" s="22">
        <v>96940</v>
      </c>
      <c r="E37" s="24">
        <f aca="true" t="shared" si="10" ref="E37:E47">(+C37-D37)/D37</f>
        <v>-0.102259129358366</v>
      </c>
      <c r="F37" s="22">
        <f>+C37-47384</f>
        <v>39643</v>
      </c>
      <c r="G37" s="22">
        <f>+D37-53664</f>
        <v>43276</v>
      </c>
      <c r="H37" s="24">
        <f aca="true" t="shared" si="11" ref="H37:H45">(+F37-G37)/G37</f>
        <v>-0.08394953322857936</v>
      </c>
      <c r="I37" s="25">
        <f aca="true" t="shared" si="12" ref="I37:I45">K37/C37</f>
        <v>34.942594367265336</v>
      </c>
      <c r="J37" s="25">
        <f aca="true" t="shared" si="13" ref="J37:J45">K37/F37</f>
        <v>76.70835103296925</v>
      </c>
      <c r="K37" s="22">
        <v>3040949.16</v>
      </c>
      <c r="L37" s="22">
        <v>3190592.29</v>
      </c>
      <c r="M37" s="26">
        <f aca="true" t="shared" si="14" ref="M37:M47">(+K37-L37)/L37</f>
        <v>-0.04690136388438395</v>
      </c>
      <c r="N37" s="11"/>
      <c r="R37" s="2"/>
    </row>
    <row r="38" spans="1:18" ht="15.75" customHeight="1">
      <c r="A38" s="20"/>
      <c r="B38" s="21">
        <f>DATE(2011,8,1)</f>
        <v>40756</v>
      </c>
      <c r="C38" s="22">
        <v>74715</v>
      </c>
      <c r="D38" s="22">
        <v>82482</v>
      </c>
      <c r="E38" s="24">
        <f t="shared" si="10"/>
        <v>-0.09416599985451371</v>
      </c>
      <c r="F38" s="22">
        <f>+C38-41561</f>
        <v>33154</v>
      </c>
      <c r="G38" s="22">
        <f>+D38-45949</f>
        <v>36533</v>
      </c>
      <c r="H38" s="24">
        <f t="shared" si="11"/>
        <v>-0.09249171981496182</v>
      </c>
      <c r="I38" s="25">
        <f t="shared" si="12"/>
        <v>36.5194421468246</v>
      </c>
      <c r="J38" s="25">
        <f t="shared" si="13"/>
        <v>82.29927369246546</v>
      </c>
      <c r="K38" s="22">
        <v>2728550.12</v>
      </c>
      <c r="L38" s="22">
        <v>2829459.5</v>
      </c>
      <c r="M38" s="26">
        <f t="shared" si="14"/>
        <v>-0.035663836149625004</v>
      </c>
      <c r="N38" s="11"/>
      <c r="R38" s="2"/>
    </row>
    <row r="39" spans="1:18" ht="15.75" customHeight="1">
      <c r="A39" s="20"/>
      <c r="B39" s="21">
        <f>DATE(2011,9,1)</f>
        <v>40787</v>
      </c>
      <c r="C39" s="22">
        <v>80985</v>
      </c>
      <c r="D39" s="22">
        <v>86060</v>
      </c>
      <c r="E39" s="24">
        <f t="shared" si="10"/>
        <v>-0.05897048570764583</v>
      </c>
      <c r="F39" s="22">
        <f>+C39-44200</f>
        <v>36785</v>
      </c>
      <c r="G39" s="22">
        <f>+D39-47962</f>
        <v>38098</v>
      </c>
      <c r="H39" s="24">
        <f t="shared" si="11"/>
        <v>-0.03446375137802509</v>
      </c>
      <c r="I39" s="25">
        <f t="shared" si="12"/>
        <v>34.35373019695005</v>
      </c>
      <c r="J39" s="25">
        <f t="shared" si="13"/>
        <v>75.63237297811608</v>
      </c>
      <c r="K39" s="22">
        <v>2782136.84</v>
      </c>
      <c r="L39" s="22">
        <v>2857933.17</v>
      </c>
      <c r="M39" s="26">
        <f t="shared" si="14"/>
        <v>-0.02652137943449534</v>
      </c>
      <c r="N39" s="11"/>
      <c r="R39" s="2"/>
    </row>
    <row r="40" spans="1:18" ht="15.75" customHeight="1">
      <c r="A40" s="20"/>
      <c r="B40" s="21">
        <f>DATE(2011,10,1)</f>
        <v>40817</v>
      </c>
      <c r="C40" s="22">
        <v>75663</v>
      </c>
      <c r="D40" s="22">
        <v>82872</v>
      </c>
      <c r="E40" s="24">
        <f t="shared" si="10"/>
        <v>-0.08698957428323197</v>
      </c>
      <c r="F40" s="22">
        <f>+C40-42720</f>
        <v>32943</v>
      </c>
      <c r="G40" s="22">
        <f>+D40-45755</f>
        <v>37117</v>
      </c>
      <c r="H40" s="24">
        <f t="shared" si="11"/>
        <v>-0.11245520920333</v>
      </c>
      <c r="I40" s="25">
        <f t="shared" si="12"/>
        <v>36.98353448845538</v>
      </c>
      <c r="J40" s="25">
        <f t="shared" si="13"/>
        <v>84.94324044561819</v>
      </c>
      <c r="K40" s="22">
        <v>2798285.17</v>
      </c>
      <c r="L40" s="22">
        <v>2899112.13</v>
      </c>
      <c r="M40" s="26">
        <f t="shared" si="14"/>
        <v>-0.034778565118831734</v>
      </c>
      <c r="N40" s="11"/>
      <c r="R40" s="2"/>
    </row>
    <row r="41" spans="1:18" ht="15.75" customHeight="1">
      <c r="A41" s="20"/>
      <c r="B41" s="21">
        <f>DATE(2011,11,1)</f>
        <v>40848</v>
      </c>
      <c r="C41" s="22">
        <v>68005</v>
      </c>
      <c r="D41" s="22">
        <v>70757</v>
      </c>
      <c r="E41" s="24">
        <f t="shared" si="10"/>
        <v>-0.03889367836397812</v>
      </c>
      <c r="F41" s="22">
        <f>+C41-38841</f>
        <v>29164</v>
      </c>
      <c r="G41" s="22">
        <f>+D41-40223</f>
        <v>30534</v>
      </c>
      <c r="H41" s="24">
        <f t="shared" si="11"/>
        <v>-0.0448680159821838</v>
      </c>
      <c r="I41" s="25">
        <f t="shared" si="12"/>
        <v>37.96229262554224</v>
      </c>
      <c r="J41" s="25">
        <f t="shared" si="13"/>
        <v>88.52097483198463</v>
      </c>
      <c r="K41" s="22">
        <v>2581625.71</v>
      </c>
      <c r="L41" s="22">
        <v>2609535.77</v>
      </c>
      <c r="M41" s="26">
        <f t="shared" si="14"/>
        <v>-0.010695411927616557</v>
      </c>
      <c r="N41" s="11"/>
      <c r="R41" s="2"/>
    </row>
    <row r="42" spans="1:18" ht="15.75" customHeight="1">
      <c r="A42" s="20"/>
      <c r="B42" s="21">
        <f>DATE(2011,12,1)</f>
        <v>40878</v>
      </c>
      <c r="C42" s="22">
        <v>78314</v>
      </c>
      <c r="D42" s="22">
        <v>72414</v>
      </c>
      <c r="E42" s="24">
        <f t="shared" si="10"/>
        <v>0.08147595768773994</v>
      </c>
      <c r="F42" s="22">
        <f>+C42-44936</f>
        <v>33378</v>
      </c>
      <c r="G42" s="22">
        <f>+D42-40889</f>
        <v>31525</v>
      </c>
      <c r="H42" s="24">
        <f t="shared" si="11"/>
        <v>0.058778747026169705</v>
      </c>
      <c r="I42" s="25">
        <f t="shared" si="12"/>
        <v>38.22742702454223</v>
      </c>
      <c r="J42" s="25">
        <f t="shared" si="13"/>
        <v>89.69209419378033</v>
      </c>
      <c r="K42" s="22">
        <v>2993742.72</v>
      </c>
      <c r="L42" s="22">
        <v>2650456.86</v>
      </c>
      <c r="M42" s="26">
        <f t="shared" si="14"/>
        <v>0.12951950479963684</v>
      </c>
      <c r="N42" s="11"/>
      <c r="R42" s="2"/>
    </row>
    <row r="43" spans="1:18" ht="15.75" customHeight="1">
      <c r="A43" s="20"/>
      <c r="B43" s="21">
        <f>DATE(2012,1,1)</f>
        <v>40909</v>
      </c>
      <c r="C43" s="22">
        <v>72850</v>
      </c>
      <c r="D43" s="22">
        <v>74605</v>
      </c>
      <c r="E43" s="24">
        <f t="shared" si="10"/>
        <v>-0.023523892500502647</v>
      </c>
      <c r="F43" s="22">
        <f>+C43-42151</f>
        <v>30699</v>
      </c>
      <c r="G43" s="22">
        <f>+D43-42641</f>
        <v>31964</v>
      </c>
      <c r="H43" s="24">
        <f t="shared" si="11"/>
        <v>-0.03957577274433738</v>
      </c>
      <c r="I43" s="25">
        <f t="shared" si="12"/>
        <v>36.398129306794786</v>
      </c>
      <c r="J43" s="25">
        <f t="shared" si="13"/>
        <v>86.37427017166684</v>
      </c>
      <c r="K43" s="22">
        <v>2651603.72</v>
      </c>
      <c r="L43" s="22">
        <v>2597641.53</v>
      </c>
      <c r="M43" s="26">
        <f t="shared" si="14"/>
        <v>0.020773532212506787</v>
      </c>
      <c r="N43" s="11"/>
      <c r="R43" s="2"/>
    </row>
    <row r="44" spans="1:18" ht="15.75" customHeight="1">
      <c r="A44" s="20"/>
      <c r="B44" s="21">
        <f>DATE(2012,2,1)</f>
        <v>40940</v>
      </c>
      <c r="C44" s="22">
        <v>90406</v>
      </c>
      <c r="D44" s="22">
        <v>84173</v>
      </c>
      <c r="E44" s="24">
        <f t="shared" si="10"/>
        <v>0.07404987347486723</v>
      </c>
      <c r="F44" s="22">
        <f>+C44-52669</f>
        <v>37737</v>
      </c>
      <c r="G44" s="22">
        <f>+D44-49183</f>
        <v>34990</v>
      </c>
      <c r="H44" s="24">
        <f t="shared" si="11"/>
        <v>0.07850814518433838</v>
      </c>
      <c r="I44" s="25">
        <f t="shared" si="12"/>
        <v>39.07298774417627</v>
      </c>
      <c r="J44" s="25">
        <f t="shared" si="13"/>
        <v>93.60660704348517</v>
      </c>
      <c r="K44" s="22">
        <v>3532432.53</v>
      </c>
      <c r="L44" s="22">
        <v>3155929.21</v>
      </c>
      <c r="M44" s="26">
        <f t="shared" si="14"/>
        <v>0.11930030585191732</v>
      </c>
      <c r="N44" s="11"/>
      <c r="R44" s="2"/>
    </row>
    <row r="45" spans="1:18" ht="15.75" customHeight="1">
      <c r="A45" s="20"/>
      <c r="B45" s="21">
        <f>DATE(2012,3,1)</f>
        <v>40969</v>
      </c>
      <c r="C45" s="22">
        <v>87698</v>
      </c>
      <c r="D45" s="22">
        <v>86598</v>
      </c>
      <c r="E45" s="24">
        <f t="shared" si="10"/>
        <v>0.01270237187925818</v>
      </c>
      <c r="F45" s="22">
        <f>+C45-50191</f>
        <v>37507</v>
      </c>
      <c r="G45" s="22">
        <f>+D45-49101</f>
        <v>37497</v>
      </c>
      <c r="H45" s="24">
        <f t="shared" si="11"/>
        <v>0.0002666880017068032</v>
      </c>
      <c r="I45" s="25">
        <f t="shared" si="12"/>
        <v>38.731219298045566</v>
      </c>
      <c r="J45" s="25">
        <f t="shared" si="13"/>
        <v>90.56044125096649</v>
      </c>
      <c r="K45" s="22">
        <v>3396650.47</v>
      </c>
      <c r="L45" s="22">
        <v>3215339.51</v>
      </c>
      <c r="M45" s="26">
        <f t="shared" si="14"/>
        <v>0.05638936710605731</v>
      </c>
      <c r="N45" s="11"/>
      <c r="R45" s="2"/>
    </row>
    <row r="46" spans="1:18" ht="15.75" customHeight="1">
      <c r="A46" s="20"/>
      <c r="B46" s="21">
        <f>DATE(2012,4,1)</f>
        <v>41000</v>
      </c>
      <c r="C46" s="22">
        <v>77629</v>
      </c>
      <c r="D46" s="22">
        <v>75015</v>
      </c>
      <c r="E46" s="24">
        <f t="shared" si="10"/>
        <v>0.03484636406052123</v>
      </c>
      <c r="F46" s="22">
        <f>C46-43773</f>
        <v>33856</v>
      </c>
      <c r="G46" s="22">
        <f>D46-42281</f>
        <v>32734</v>
      </c>
      <c r="H46" s="24">
        <f>(+F46-G46)/G46</f>
        <v>0.03427628765198265</v>
      </c>
      <c r="I46" s="25">
        <f>K46/C46</f>
        <v>39.6556162001314</v>
      </c>
      <c r="J46" s="25">
        <f>K46/F46</f>
        <v>90.92703892958413</v>
      </c>
      <c r="K46" s="22">
        <v>3078425.83</v>
      </c>
      <c r="L46" s="22">
        <v>2816944.46</v>
      </c>
      <c r="M46" s="26">
        <f t="shared" si="14"/>
        <v>0.09282446768581305</v>
      </c>
      <c r="N46" s="11"/>
      <c r="R46" s="2"/>
    </row>
    <row r="47" spans="1:18" ht="15.75" customHeight="1">
      <c r="A47" s="20"/>
      <c r="B47" s="21">
        <f>DATE(2012,5,1)</f>
        <v>41030</v>
      </c>
      <c r="C47" s="22">
        <v>78917</v>
      </c>
      <c r="D47" s="22">
        <v>44511</v>
      </c>
      <c r="E47" s="24">
        <f t="shared" si="10"/>
        <v>0.7729774662442992</v>
      </c>
      <c r="F47" s="22">
        <f>+C47-43698</f>
        <v>35219</v>
      </c>
      <c r="G47" s="22">
        <f>+D47-25322</f>
        <v>19189</v>
      </c>
      <c r="H47" s="24">
        <f>(+F47-G47)/G47</f>
        <v>0.8353744332690604</v>
      </c>
      <c r="I47" s="25">
        <f>K47/C47</f>
        <v>37.39160852541277</v>
      </c>
      <c r="J47" s="25">
        <f>K47/F47</f>
        <v>83.78527414179845</v>
      </c>
      <c r="K47" s="22">
        <v>2950833.57</v>
      </c>
      <c r="L47" s="22">
        <v>1808488.28</v>
      </c>
      <c r="M47" s="26">
        <f t="shared" si="14"/>
        <v>0.6316575576591515</v>
      </c>
      <c r="N47" s="11"/>
      <c r="R47" s="2"/>
    </row>
    <row r="48" spans="1:18" ht="15.75" customHeight="1" thickBot="1">
      <c r="A48" s="39"/>
      <c r="B48" s="21"/>
      <c r="C48" s="22"/>
      <c r="D48" s="22"/>
      <c r="E48" s="24"/>
      <c r="F48" s="22"/>
      <c r="G48" s="22"/>
      <c r="H48" s="24"/>
      <c r="I48" s="25"/>
      <c r="J48" s="25"/>
      <c r="K48" s="22"/>
      <c r="L48" s="22"/>
      <c r="M48" s="26"/>
      <c r="N48" s="11"/>
      <c r="R48" s="2"/>
    </row>
    <row r="49" spans="1:18" ht="15.75" customHeight="1" thickBot="1" thickTop="1">
      <c r="A49" s="40" t="s">
        <v>14</v>
      </c>
      <c r="B49" s="41"/>
      <c r="C49" s="42">
        <f>SUM(C37:C48)</f>
        <v>872209</v>
      </c>
      <c r="D49" s="42">
        <f>SUM(D37:D48)</f>
        <v>856427</v>
      </c>
      <c r="E49" s="43">
        <f>(+C49-D49)/D49</f>
        <v>0.018427723553788005</v>
      </c>
      <c r="F49" s="42">
        <f>SUM(F37:F48)</f>
        <v>380085</v>
      </c>
      <c r="G49" s="42">
        <f>SUM(G37:G48)</f>
        <v>373457</v>
      </c>
      <c r="H49" s="44">
        <f>(+F49-G49)/G49</f>
        <v>0.017747692505429007</v>
      </c>
      <c r="I49" s="45">
        <f>K49/C49</f>
        <v>37.30210974663182</v>
      </c>
      <c r="J49" s="45">
        <f>K49/F49</f>
        <v>85.59989433942407</v>
      </c>
      <c r="K49" s="42">
        <f>SUM(K37:K48)</f>
        <v>32535235.839999996</v>
      </c>
      <c r="L49" s="42">
        <f>SUM(L37:L48)</f>
        <v>30631432.71</v>
      </c>
      <c r="M49" s="46">
        <f>(+K49-L49)/L49</f>
        <v>0.062151945291755016</v>
      </c>
      <c r="N49" s="11"/>
      <c r="R49" s="2"/>
    </row>
    <row r="50" spans="1:18" ht="15.75" customHeight="1" thickTop="1">
      <c r="A50" s="39"/>
      <c r="B50" s="47"/>
      <c r="C50" s="22"/>
      <c r="D50" s="22"/>
      <c r="E50" s="24"/>
      <c r="F50" s="22"/>
      <c r="G50" s="22"/>
      <c r="H50" s="24"/>
      <c r="I50" s="25"/>
      <c r="J50" s="25"/>
      <c r="K50" s="22"/>
      <c r="L50" s="22"/>
      <c r="M50" s="26"/>
      <c r="N50" s="11"/>
      <c r="R50" s="2"/>
    </row>
    <row r="51" spans="1:18" ht="15.75" customHeight="1">
      <c r="A51" s="20" t="s">
        <v>16</v>
      </c>
      <c r="B51" s="21">
        <f>DATE(2011,7,1)</f>
        <v>40725</v>
      </c>
      <c r="C51" s="22">
        <v>617673</v>
      </c>
      <c r="D51" s="22">
        <v>683669</v>
      </c>
      <c r="E51" s="24">
        <f aca="true" t="shared" si="15" ref="E51:E61">(+C51-D51)/D51</f>
        <v>-0.09653209374712032</v>
      </c>
      <c r="F51" s="22">
        <f>+C51-316900</f>
        <v>300773</v>
      </c>
      <c r="G51" s="22">
        <f>+D51-354657</f>
        <v>329012</v>
      </c>
      <c r="H51" s="24">
        <f aca="true" t="shared" si="16" ref="H51:H59">(+F51-G51)/G51</f>
        <v>-0.0858296961812943</v>
      </c>
      <c r="I51" s="25">
        <f aca="true" t="shared" si="17" ref="I51:I59">K51/C51</f>
        <v>39.63116755953393</v>
      </c>
      <c r="J51" s="25">
        <f aca="true" t="shared" si="18" ref="J51:J59">K51/F51</f>
        <v>81.38729925890955</v>
      </c>
      <c r="K51" s="22">
        <v>24479102.16</v>
      </c>
      <c r="L51" s="22">
        <v>25239968.33</v>
      </c>
      <c r="M51" s="26">
        <f aca="true" t="shared" si="19" ref="M51:M61">(+K51-L51)/L51</f>
        <v>-0.030145290202113265</v>
      </c>
      <c r="N51" s="11"/>
      <c r="R51" s="2"/>
    </row>
    <row r="52" spans="1:18" ht="15.75" customHeight="1">
      <c r="A52" s="20"/>
      <c r="B52" s="21">
        <f>DATE(2011,8,1)</f>
        <v>40756</v>
      </c>
      <c r="C52" s="22">
        <v>557677</v>
      </c>
      <c r="D52" s="22">
        <v>612793</v>
      </c>
      <c r="E52" s="24">
        <f t="shared" si="15"/>
        <v>-0.08994228067226616</v>
      </c>
      <c r="F52" s="22">
        <f>+C52-280204</f>
        <v>277473</v>
      </c>
      <c r="G52" s="22">
        <f>+D52-319692</f>
        <v>293101</v>
      </c>
      <c r="H52" s="24">
        <f t="shared" si="16"/>
        <v>-0.05331950419821154</v>
      </c>
      <c r="I52" s="25">
        <f t="shared" si="17"/>
        <v>37.84735841714828</v>
      </c>
      <c r="J52" s="25">
        <f t="shared" si="18"/>
        <v>76.06722563997218</v>
      </c>
      <c r="K52" s="22">
        <v>21106601.3</v>
      </c>
      <c r="L52" s="22">
        <v>22546919.59</v>
      </c>
      <c r="M52" s="26">
        <f t="shared" si="19"/>
        <v>-0.06388093434452166</v>
      </c>
      <c r="N52" s="11"/>
      <c r="R52" s="2"/>
    </row>
    <row r="53" spans="1:18" ht="15.75" customHeight="1">
      <c r="A53" s="20"/>
      <c r="B53" s="21">
        <f>DATE(2011,9,1)</f>
        <v>40787</v>
      </c>
      <c r="C53" s="22">
        <v>568209</v>
      </c>
      <c r="D53" s="22">
        <v>587353</v>
      </c>
      <c r="E53" s="24">
        <f t="shared" si="15"/>
        <v>-0.03259368727153858</v>
      </c>
      <c r="F53" s="22">
        <f>+C53-285506</f>
        <v>282703</v>
      </c>
      <c r="G53" s="22">
        <f>+D53-306675</f>
        <v>280678</v>
      </c>
      <c r="H53" s="24">
        <f t="shared" si="16"/>
        <v>0.007214673041706155</v>
      </c>
      <c r="I53" s="25">
        <f t="shared" si="17"/>
        <v>38.67036803359327</v>
      </c>
      <c r="J53" s="25">
        <f t="shared" si="18"/>
        <v>77.72415273272657</v>
      </c>
      <c r="K53" s="22">
        <v>21972851.15</v>
      </c>
      <c r="L53" s="22">
        <v>22471874.91</v>
      </c>
      <c r="M53" s="26">
        <f t="shared" si="19"/>
        <v>-0.02220659210673764</v>
      </c>
      <c r="N53" s="11"/>
      <c r="R53" s="2"/>
    </row>
    <row r="54" spans="1:18" ht="15.75" customHeight="1">
      <c r="A54" s="20"/>
      <c r="B54" s="21">
        <f>DATE(2011,10,1)</f>
        <v>40817</v>
      </c>
      <c r="C54" s="22">
        <v>544062</v>
      </c>
      <c r="D54" s="22">
        <v>586796</v>
      </c>
      <c r="E54" s="24">
        <f t="shared" si="15"/>
        <v>-0.07282599063388298</v>
      </c>
      <c r="F54" s="22">
        <f>+C54-274434</f>
        <v>269628</v>
      </c>
      <c r="G54" s="22">
        <f>+D54-306236</f>
        <v>280560</v>
      </c>
      <c r="H54" s="24">
        <f t="shared" si="16"/>
        <v>-0.03896492728828058</v>
      </c>
      <c r="I54" s="25">
        <f t="shared" si="17"/>
        <v>39.783593708070036</v>
      </c>
      <c r="J54" s="25">
        <f t="shared" si="18"/>
        <v>80.27631240078924</v>
      </c>
      <c r="K54" s="22">
        <v>21644741.56</v>
      </c>
      <c r="L54" s="22">
        <v>22598955.58</v>
      </c>
      <c r="M54" s="26">
        <f t="shared" si="19"/>
        <v>-0.04222381059257782</v>
      </c>
      <c r="N54" s="11"/>
      <c r="R54" s="2"/>
    </row>
    <row r="55" spans="1:18" ht="15.75" customHeight="1">
      <c r="A55" s="20"/>
      <c r="B55" s="21">
        <f>DATE(2011,11,1)</f>
        <v>40848</v>
      </c>
      <c r="C55" s="22">
        <v>534755</v>
      </c>
      <c r="D55" s="22">
        <v>551523</v>
      </c>
      <c r="E55" s="24">
        <f t="shared" si="15"/>
        <v>-0.030403083824246675</v>
      </c>
      <c r="F55" s="22">
        <f>+C55-278012</f>
        <v>256743</v>
      </c>
      <c r="G55" s="22">
        <f>+D55-286377</f>
        <v>265146</v>
      </c>
      <c r="H55" s="24">
        <f t="shared" si="16"/>
        <v>-0.031691973478762646</v>
      </c>
      <c r="I55" s="25">
        <f t="shared" si="17"/>
        <v>39.25625359276678</v>
      </c>
      <c r="J55" s="25">
        <f t="shared" si="18"/>
        <v>81.7645579042077</v>
      </c>
      <c r="K55" s="22">
        <v>20992477.89</v>
      </c>
      <c r="L55" s="22">
        <v>20564341.98</v>
      </c>
      <c r="M55" s="26">
        <f t="shared" si="19"/>
        <v>0.020819334283410908</v>
      </c>
      <c r="N55" s="11"/>
      <c r="R55" s="2"/>
    </row>
    <row r="56" spans="1:18" ht="15.75" customHeight="1">
      <c r="A56" s="20"/>
      <c r="B56" s="21">
        <f>DATE(2011,12,1)</f>
        <v>40878</v>
      </c>
      <c r="C56" s="22">
        <v>577044</v>
      </c>
      <c r="D56" s="22">
        <v>550427</v>
      </c>
      <c r="E56" s="24">
        <f t="shared" si="15"/>
        <v>0.048357002835980066</v>
      </c>
      <c r="F56" s="22">
        <f>+C56-303257</f>
        <v>273787</v>
      </c>
      <c r="G56" s="22">
        <f>+D56-288259</f>
        <v>262168</v>
      </c>
      <c r="H56" s="24">
        <f t="shared" si="16"/>
        <v>0.04431891001190077</v>
      </c>
      <c r="I56" s="25">
        <f t="shared" si="17"/>
        <v>40.60879565509735</v>
      </c>
      <c r="J56" s="25">
        <f t="shared" si="18"/>
        <v>85.58865789829319</v>
      </c>
      <c r="K56" s="22">
        <v>23433061.88</v>
      </c>
      <c r="L56" s="22">
        <v>21099425.05</v>
      </c>
      <c r="M56" s="26">
        <f t="shared" si="19"/>
        <v>0.11060191566689151</v>
      </c>
      <c r="N56" s="11"/>
      <c r="R56" s="2"/>
    </row>
    <row r="57" spans="1:18" ht="15.75" customHeight="1">
      <c r="A57" s="20"/>
      <c r="B57" s="21">
        <f>DATE(2012,1,1)</f>
        <v>40909</v>
      </c>
      <c r="C57" s="22">
        <v>553204</v>
      </c>
      <c r="D57" s="22">
        <v>550420</v>
      </c>
      <c r="E57" s="24">
        <f t="shared" si="15"/>
        <v>0.005057955742887249</v>
      </c>
      <c r="F57" s="22">
        <f>+C57-286131</f>
        <v>267073</v>
      </c>
      <c r="G57" s="22">
        <f>+D57-288071</f>
        <v>262349</v>
      </c>
      <c r="H57" s="24">
        <f t="shared" si="16"/>
        <v>0.018006548528868033</v>
      </c>
      <c r="I57" s="25">
        <f t="shared" si="17"/>
        <v>37.278995596561124</v>
      </c>
      <c r="J57" s="25">
        <f t="shared" si="18"/>
        <v>77.2181743568238</v>
      </c>
      <c r="K57" s="22">
        <v>20622889.48</v>
      </c>
      <c r="L57" s="22">
        <v>20481114.22</v>
      </c>
      <c r="M57" s="26">
        <f t="shared" si="19"/>
        <v>0.006922243510636583</v>
      </c>
      <c r="N57" s="11"/>
      <c r="R57" s="2"/>
    </row>
    <row r="58" spans="1:18" ht="15.75" customHeight="1">
      <c r="A58" s="20"/>
      <c r="B58" s="21">
        <f>DATE(2012,2,1)</f>
        <v>40940</v>
      </c>
      <c r="C58" s="22">
        <v>566801</v>
      </c>
      <c r="D58" s="22">
        <v>543669</v>
      </c>
      <c r="E58" s="24">
        <f t="shared" si="15"/>
        <v>0.042547947372390184</v>
      </c>
      <c r="F58" s="22">
        <f>+C58-293253</f>
        <v>273548</v>
      </c>
      <c r="G58" s="22">
        <f>+D58-291915</f>
        <v>251754</v>
      </c>
      <c r="H58" s="24">
        <f t="shared" si="16"/>
        <v>0.08656863446062427</v>
      </c>
      <c r="I58" s="25">
        <f t="shared" si="17"/>
        <v>40.42371112612716</v>
      </c>
      <c r="J58" s="25">
        <f t="shared" si="18"/>
        <v>83.75933982335825</v>
      </c>
      <c r="K58" s="22">
        <v>22912199.89</v>
      </c>
      <c r="L58" s="22">
        <v>21462934.68</v>
      </c>
      <c r="M58" s="26">
        <f t="shared" si="19"/>
        <v>0.06752409358774608</v>
      </c>
      <c r="N58" s="11"/>
      <c r="R58" s="2"/>
    </row>
    <row r="59" spans="1:18" ht="15.75" customHeight="1">
      <c r="A59" s="20"/>
      <c r="B59" s="21">
        <f>DATE(2012,3,1)</f>
        <v>40969</v>
      </c>
      <c r="C59" s="22">
        <v>578567</v>
      </c>
      <c r="D59" s="22">
        <v>578930</v>
      </c>
      <c r="E59" s="24">
        <f t="shared" si="15"/>
        <v>-0.000627018810564317</v>
      </c>
      <c r="F59" s="22">
        <f>+C59-300289</f>
        <v>278278</v>
      </c>
      <c r="G59" s="22">
        <f>+D59-304249</f>
        <v>274681</v>
      </c>
      <c r="H59" s="24">
        <f t="shared" si="16"/>
        <v>0.01309519042088823</v>
      </c>
      <c r="I59" s="25">
        <f t="shared" si="17"/>
        <v>43.5819752768478</v>
      </c>
      <c r="J59" s="25">
        <f t="shared" si="18"/>
        <v>90.61116110508198</v>
      </c>
      <c r="K59" s="22">
        <v>25215092.69</v>
      </c>
      <c r="L59" s="22">
        <v>23322428.91</v>
      </c>
      <c r="M59" s="26">
        <f t="shared" si="19"/>
        <v>0.0811520870019023</v>
      </c>
      <c r="N59" s="11"/>
      <c r="R59" s="2"/>
    </row>
    <row r="60" spans="1:18" ht="15.75" customHeight="1">
      <c r="A60" s="20"/>
      <c r="B60" s="21">
        <f>DATE(2012,4,1)</f>
        <v>41000</v>
      </c>
      <c r="C60" s="22">
        <v>600357</v>
      </c>
      <c r="D60" s="22">
        <v>627457</v>
      </c>
      <c r="E60" s="24">
        <f t="shared" si="15"/>
        <v>-0.043190210643916635</v>
      </c>
      <c r="F60" s="22">
        <f>C60-312228</f>
        <v>288129</v>
      </c>
      <c r="G60" s="22">
        <f>D60-338145</f>
        <v>289312</v>
      </c>
      <c r="H60" s="24">
        <f>(+F60-G60)/G60</f>
        <v>-0.004089011171330605</v>
      </c>
      <c r="I60" s="25">
        <f>K60/C60</f>
        <v>40.12609943750135</v>
      </c>
      <c r="J60" s="25">
        <f>K60/F60</f>
        <v>83.60833057415255</v>
      </c>
      <c r="K60" s="22">
        <v>24089984.68</v>
      </c>
      <c r="L60" s="22">
        <v>24081064.84</v>
      </c>
      <c r="M60" s="26">
        <f t="shared" si="19"/>
        <v>0.00037040886934466025</v>
      </c>
      <c r="N60" s="11"/>
      <c r="R60" s="2"/>
    </row>
    <row r="61" spans="1:18" ht="15.75" customHeight="1">
      <c r="A61" s="20"/>
      <c r="B61" s="21">
        <f>DATE(2012,5,1)</f>
        <v>41030</v>
      </c>
      <c r="C61" s="22">
        <v>549782</v>
      </c>
      <c r="D61" s="22">
        <v>587927</v>
      </c>
      <c r="E61" s="24">
        <f t="shared" si="15"/>
        <v>-0.06488050387207936</v>
      </c>
      <c r="F61" s="22">
        <f>+C61-282067</f>
        <v>267715</v>
      </c>
      <c r="G61" s="22">
        <f>+D61-298387</f>
        <v>289540</v>
      </c>
      <c r="H61" s="24">
        <f>(+F61-G61)/G61</f>
        <v>-0.07537818608827795</v>
      </c>
      <c r="I61" s="25">
        <f>K61/C61</f>
        <v>41.20969771654947</v>
      </c>
      <c r="J61" s="25">
        <f>K61/F61</f>
        <v>84.62861636441738</v>
      </c>
      <c r="K61" s="22">
        <v>22656350.03</v>
      </c>
      <c r="L61" s="22">
        <v>23981101.18</v>
      </c>
      <c r="M61" s="26">
        <f t="shared" si="19"/>
        <v>-0.05524146452060458</v>
      </c>
      <c r="N61" s="11"/>
      <c r="R61" s="2"/>
    </row>
    <row r="62" spans="1:18" ht="15.75" thickBot="1">
      <c r="A62" s="39"/>
      <c r="B62" s="47"/>
      <c r="C62" s="22"/>
      <c r="D62" s="22"/>
      <c r="E62" s="24"/>
      <c r="F62" s="22"/>
      <c r="G62" s="22"/>
      <c r="H62" s="24"/>
      <c r="I62" s="25"/>
      <c r="J62" s="25"/>
      <c r="K62" s="22"/>
      <c r="L62" s="22"/>
      <c r="M62" s="26"/>
      <c r="N62" s="11"/>
      <c r="R62" s="2"/>
    </row>
    <row r="63" spans="1:18" ht="17.25" thickBot="1" thickTop="1">
      <c r="A63" s="40" t="s">
        <v>14</v>
      </c>
      <c r="B63" s="41"/>
      <c r="C63" s="42">
        <f>SUM(C51:C62)</f>
        <v>6248131</v>
      </c>
      <c r="D63" s="42">
        <f>SUM(D51:D62)</f>
        <v>6460964</v>
      </c>
      <c r="E63" s="43">
        <f>(+C63-D63)/D63</f>
        <v>-0.032941369120768976</v>
      </c>
      <c r="F63" s="42">
        <f>SUM(F51:F62)</f>
        <v>3035850</v>
      </c>
      <c r="G63" s="42">
        <f>SUM(G51:G62)</f>
        <v>3078301</v>
      </c>
      <c r="H63" s="44">
        <f>(+F63-G63)/G63</f>
        <v>-0.013790399314427017</v>
      </c>
      <c r="I63" s="45">
        <f>K63/C63</f>
        <v>39.871979750424565</v>
      </c>
      <c r="J63" s="45">
        <f>K63/F63</f>
        <v>82.06115345290446</v>
      </c>
      <c r="K63" s="42">
        <f>SUM(K51:K62)</f>
        <v>249125352.71</v>
      </c>
      <c r="L63" s="42">
        <f>SUM(L51:L62)</f>
        <v>247850129.27</v>
      </c>
      <c r="M63" s="46">
        <f>(+K63-L63)/L63</f>
        <v>0.005145139297509948</v>
      </c>
      <c r="N63" s="11"/>
      <c r="R63" s="2"/>
    </row>
    <row r="64" spans="1:18" ht="15.75" thickTop="1">
      <c r="A64" s="39"/>
      <c r="B64" s="47"/>
      <c r="C64" s="22"/>
      <c r="D64" s="22"/>
      <c r="E64" s="24"/>
      <c r="F64" s="22"/>
      <c r="G64" s="22"/>
      <c r="H64" s="24"/>
      <c r="I64" s="25"/>
      <c r="J64" s="25"/>
      <c r="K64" s="22"/>
      <c r="L64" s="22"/>
      <c r="M64" s="26"/>
      <c r="N64" s="11"/>
      <c r="R64" s="2"/>
    </row>
    <row r="65" spans="1:18" ht="15.75">
      <c r="A65" s="20" t="s">
        <v>17</v>
      </c>
      <c r="B65" s="21">
        <f>DATE(2011,7,1)</f>
        <v>40725</v>
      </c>
      <c r="C65" s="22">
        <v>441921</v>
      </c>
      <c r="D65" s="22">
        <v>470432</v>
      </c>
      <c r="E65" s="24">
        <f aca="true" t="shared" si="20" ref="E65:E75">(+C65-D65)/D65</f>
        <v>-0.060605996190735326</v>
      </c>
      <c r="F65" s="22">
        <f>+C65-211667</f>
        <v>230254</v>
      </c>
      <c r="G65" s="22">
        <f>+D65-222180</f>
        <v>248252</v>
      </c>
      <c r="H65" s="24">
        <f aca="true" t="shared" si="21" ref="H65:H73">(+F65-G65)/G65</f>
        <v>-0.07249891239546911</v>
      </c>
      <c r="I65" s="25">
        <f aca="true" t="shared" si="22" ref="I65:I73">K65/C65</f>
        <v>39.29639544171923</v>
      </c>
      <c r="J65" s="25">
        <f aca="true" t="shared" si="23" ref="J65:J73">K65/F65</f>
        <v>75.42063273602196</v>
      </c>
      <c r="K65" s="22">
        <v>17365902.37</v>
      </c>
      <c r="L65" s="22">
        <v>17339020.4</v>
      </c>
      <c r="M65" s="26">
        <f aca="true" t="shared" si="24" ref="M65:M75">(+K65-L65)/L65</f>
        <v>0.0015503742068382672</v>
      </c>
      <c r="N65" s="11"/>
      <c r="R65" s="2"/>
    </row>
    <row r="66" spans="1:18" ht="15.75">
      <c r="A66" s="20"/>
      <c r="B66" s="21">
        <f>DATE(2011,8,1)</f>
        <v>40756</v>
      </c>
      <c r="C66" s="22">
        <v>417663</v>
      </c>
      <c r="D66" s="22">
        <v>437093</v>
      </c>
      <c r="E66" s="24">
        <f t="shared" si="20"/>
        <v>-0.044452782359818165</v>
      </c>
      <c r="F66" s="22">
        <f>+C66-199325</f>
        <v>218338</v>
      </c>
      <c r="G66" s="22">
        <f>+D66-203964</f>
        <v>233129</v>
      </c>
      <c r="H66" s="24">
        <f t="shared" si="21"/>
        <v>-0.06344556018341777</v>
      </c>
      <c r="I66" s="25">
        <f t="shared" si="22"/>
        <v>38.23070511393157</v>
      </c>
      <c r="J66" s="25">
        <f t="shared" si="23"/>
        <v>73.13225819600802</v>
      </c>
      <c r="K66" s="22">
        <v>15967550.99</v>
      </c>
      <c r="L66" s="22">
        <v>16180563.51</v>
      </c>
      <c r="M66" s="26">
        <f t="shared" si="24"/>
        <v>-0.013164715794252307</v>
      </c>
      <c r="N66" s="11"/>
      <c r="R66" s="2"/>
    </row>
    <row r="67" spans="1:18" ht="15.75">
      <c r="A67" s="20"/>
      <c r="B67" s="21">
        <f>DATE(2011,9,1)</f>
        <v>40787</v>
      </c>
      <c r="C67" s="22">
        <v>395374</v>
      </c>
      <c r="D67" s="22">
        <v>427224</v>
      </c>
      <c r="E67" s="24">
        <f t="shared" si="20"/>
        <v>-0.07455105518416569</v>
      </c>
      <c r="F67" s="22">
        <f>+C67-188061</f>
        <v>207313</v>
      </c>
      <c r="G67" s="22">
        <f>+D67-204920</f>
        <v>222304</v>
      </c>
      <c r="H67" s="24">
        <f t="shared" si="21"/>
        <v>-0.06743468403627464</v>
      </c>
      <c r="I67" s="25">
        <f t="shared" si="22"/>
        <v>41.114053680818664</v>
      </c>
      <c r="J67" s="25">
        <f t="shared" si="23"/>
        <v>78.41007491088354</v>
      </c>
      <c r="K67" s="22">
        <v>16255427.86</v>
      </c>
      <c r="L67" s="22">
        <v>15594740.61</v>
      </c>
      <c r="M67" s="26">
        <f t="shared" si="24"/>
        <v>0.042366030094552504</v>
      </c>
      <c r="N67" s="11"/>
      <c r="R67" s="2"/>
    </row>
    <row r="68" spans="1:18" ht="15.75">
      <c r="A68" s="20"/>
      <c r="B68" s="21">
        <f>DATE(2011,10,1)</f>
        <v>40817</v>
      </c>
      <c r="C68" s="22">
        <v>405100</v>
      </c>
      <c r="D68" s="22">
        <v>437688</v>
      </c>
      <c r="E68" s="24">
        <f t="shared" si="20"/>
        <v>-0.07445486282466049</v>
      </c>
      <c r="F68" s="22">
        <f>+C68-190017</f>
        <v>215083</v>
      </c>
      <c r="G68" s="22">
        <f>+D68-213449</f>
        <v>224239</v>
      </c>
      <c r="H68" s="24">
        <f t="shared" si="21"/>
        <v>-0.040831434317848365</v>
      </c>
      <c r="I68" s="25">
        <f t="shared" si="22"/>
        <v>38.3843805726981</v>
      </c>
      <c r="J68" s="25">
        <f t="shared" si="23"/>
        <v>72.29540489020518</v>
      </c>
      <c r="K68" s="22">
        <v>15549512.57</v>
      </c>
      <c r="L68" s="22">
        <v>16736015.5</v>
      </c>
      <c r="M68" s="26">
        <f t="shared" si="24"/>
        <v>-0.0708951858941574</v>
      </c>
      <c r="N68" s="11"/>
      <c r="R68" s="2"/>
    </row>
    <row r="69" spans="1:18" ht="15.75">
      <c r="A69" s="20"/>
      <c r="B69" s="21">
        <f>DATE(2011,11,1)</f>
        <v>40848</v>
      </c>
      <c r="C69" s="22">
        <v>392183</v>
      </c>
      <c r="D69" s="22">
        <v>406921</v>
      </c>
      <c r="E69" s="24">
        <f t="shared" si="20"/>
        <v>-0.03621833230528776</v>
      </c>
      <c r="F69" s="22">
        <f>+C69-185433</f>
        <v>206750</v>
      </c>
      <c r="G69" s="22">
        <f>+D69-199040</f>
        <v>207881</v>
      </c>
      <c r="H69" s="24">
        <f t="shared" si="21"/>
        <v>-0.005440612658203492</v>
      </c>
      <c r="I69" s="25">
        <f t="shared" si="22"/>
        <v>39.572671074472886</v>
      </c>
      <c r="J69" s="25">
        <f t="shared" si="23"/>
        <v>75.06519400241838</v>
      </c>
      <c r="K69" s="22">
        <v>15519728.86</v>
      </c>
      <c r="L69" s="22">
        <v>15711322</v>
      </c>
      <c r="M69" s="26">
        <f t="shared" si="24"/>
        <v>-0.01219459062706503</v>
      </c>
      <c r="N69" s="11"/>
      <c r="R69" s="2"/>
    </row>
    <row r="70" spans="1:18" ht="15.75">
      <c r="A70" s="20"/>
      <c r="B70" s="21">
        <f>DATE(2011,12,1)</f>
        <v>40878</v>
      </c>
      <c r="C70" s="22">
        <v>423560</v>
      </c>
      <c r="D70" s="22">
        <v>424467</v>
      </c>
      <c r="E70" s="24">
        <f t="shared" si="20"/>
        <v>-0.0021367974424395773</v>
      </c>
      <c r="F70" s="22">
        <f>+C70-201359</f>
        <v>222201</v>
      </c>
      <c r="G70" s="22">
        <f>+D70-206359</f>
        <v>218108</v>
      </c>
      <c r="H70" s="24">
        <f t="shared" si="21"/>
        <v>0.01876593247382031</v>
      </c>
      <c r="I70" s="25">
        <f t="shared" si="22"/>
        <v>38.90811955803192</v>
      </c>
      <c r="J70" s="25">
        <f t="shared" si="23"/>
        <v>74.16673696338</v>
      </c>
      <c r="K70" s="22">
        <v>16479923.12</v>
      </c>
      <c r="L70" s="22">
        <v>15726907.15</v>
      </c>
      <c r="M70" s="26">
        <f t="shared" si="24"/>
        <v>0.04788074112842962</v>
      </c>
      <c r="N70" s="11"/>
      <c r="R70" s="2"/>
    </row>
    <row r="71" spans="1:18" ht="15.75">
      <c r="A71" s="20"/>
      <c r="B71" s="21">
        <f>DATE(2012,1,1)</f>
        <v>40909</v>
      </c>
      <c r="C71" s="22">
        <v>382445</v>
      </c>
      <c r="D71" s="22">
        <v>389543</v>
      </c>
      <c r="E71" s="24">
        <f t="shared" si="20"/>
        <v>-0.01822135168646337</v>
      </c>
      <c r="F71" s="22">
        <f>+C71-182817</f>
        <v>199628</v>
      </c>
      <c r="G71" s="22">
        <f>+D71-192928</f>
        <v>196615</v>
      </c>
      <c r="H71" s="24">
        <f t="shared" si="21"/>
        <v>0.015324364875518144</v>
      </c>
      <c r="I71" s="25">
        <f t="shared" si="22"/>
        <v>36.753209768724915</v>
      </c>
      <c r="J71" s="25">
        <f t="shared" si="23"/>
        <v>70.41137170136454</v>
      </c>
      <c r="K71" s="22">
        <v>14056081.31</v>
      </c>
      <c r="L71" s="22">
        <v>15030554.82</v>
      </c>
      <c r="M71" s="26">
        <f t="shared" si="24"/>
        <v>-0.06483283695578176</v>
      </c>
      <c r="N71" s="11"/>
      <c r="R71" s="2"/>
    </row>
    <row r="72" spans="1:18" ht="15.75">
      <c r="A72" s="20"/>
      <c r="B72" s="21">
        <f>DATE(2012,2,1)</f>
        <v>40940</v>
      </c>
      <c r="C72" s="22">
        <v>375813</v>
      </c>
      <c r="D72" s="22">
        <v>392745</v>
      </c>
      <c r="E72" s="24">
        <f t="shared" si="20"/>
        <v>-0.04311194286369018</v>
      </c>
      <c r="F72" s="22">
        <f>+C72-178556</f>
        <v>197257</v>
      </c>
      <c r="G72" s="22">
        <f>+D72-195540</f>
        <v>197205</v>
      </c>
      <c r="H72" s="24">
        <f t="shared" si="21"/>
        <v>0.0002636849978448822</v>
      </c>
      <c r="I72" s="25">
        <f t="shared" si="22"/>
        <v>40.8284633581063</v>
      </c>
      <c r="J72" s="25">
        <f t="shared" si="23"/>
        <v>77.7861738746914</v>
      </c>
      <c r="K72" s="22">
        <v>15343867.3</v>
      </c>
      <c r="L72" s="22">
        <v>14928642.91</v>
      </c>
      <c r="M72" s="26">
        <f t="shared" si="24"/>
        <v>0.027813940791755504</v>
      </c>
      <c r="N72" s="11"/>
      <c r="R72" s="2"/>
    </row>
    <row r="73" spans="1:18" ht="15.75">
      <c r="A73" s="20"/>
      <c r="B73" s="21">
        <f>DATE(2012,3,1)</f>
        <v>40969</v>
      </c>
      <c r="C73" s="22">
        <v>400755</v>
      </c>
      <c r="D73" s="22">
        <v>448269</v>
      </c>
      <c r="E73" s="24">
        <f t="shared" si="20"/>
        <v>-0.10599439176030463</v>
      </c>
      <c r="F73" s="22">
        <f>+C73-193028</f>
        <v>207727</v>
      </c>
      <c r="G73" s="22">
        <f>+D73-222333</f>
        <v>225936</v>
      </c>
      <c r="H73" s="24">
        <f t="shared" si="21"/>
        <v>-0.08059361943205155</v>
      </c>
      <c r="I73" s="25">
        <f t="shared" si="22"/>
        <v>42.23510683584733</v>
      </c>
      <c r="J73" s="25">
        <f t="shared" si="23"/>
        <v>81.4816092274957</v>
      </c>
      <c r="K73" s="22">
        <v>16925930.24</v>
      </c>
      <c r="L73" s="22">
        <v>17248442.86</v>
      </c>
      <c r="M73" s="26">
        <f t="shared" si="24"/>
        <v>-0.01869807162407245</v>
      </c>
      <c r="N73" s="11"/>
      <c r="R73" s="2"/>
    </row>
    <row r="74" spans="1:18" ht="15.75">
      <c r="A74" s="20"/>
      <c r="B74" s="21">
        <f>DATE(2012,4,1)</f>
        <v>41000</v>
      </c>
      <c r="C74" s="22">
        <v>370877</v>
      </c>
      <c r="D74" s="22">
        <v>419281</v>
      </c>
      <c r="E74" s="24">
        <f t="shared" si="20"/>
        <v>-0.11544525032138352</v>
      </c>
      <c r="F74" s="22">
        <f>C74-173499</f>
        <v>197378</v>
      </c>
      <c r="G74" s="22">
        <f>D74-201828</f>
        <v>217453</v>
      </c>
      <c r="H74" s="24">
        <f>(+F74-G74)/G74</f>
        <v>-0.0923187999245814</v>
      </c>
      <c r="I74" s="25">
        <f>K74/C74</f>
        <v>42.4879446015795</v>
      </c>
      <c r="J74" s="25">
        <f>K74/F74</f>
        <v>79.835652554996</v>
      </c>
      <c r="K74" s="22">
        <v>15757801.43</v>
      </c>
      <c r="L74" s="22">
        <v>17395961.96</v>
      </c>
      <c r="M74" s="26">
        <f t="shared" si="24"/>
        <v>-0.09416901081795657</v>
      </c>
      <c r="N74" s="11"/>
      <c r="R74" s="2"/>
    </row>
    <row r="75" spans="1:18" ht="15.75">
      <c r="A75" s="20"/>
      <c r="B75" s="21">
        <f>DATE(2012,5,1)</f>
        <v>41030</v>
      </c>
      <c r="C75" s="22">
        <v>374590</v>
      </c>
      <c r="D75" s="22">
        <v>417654</v>
      </c>
      <c r="E75" s="24">
        <f t="shared" si="20"/>
        <v>-0.10310927226843272</v>
      </c>
      <c r="F75" s="22">
        <f>+C75-175124</f>
        <v>199466</v>
      </c>
      <c r="G75" s="22">
        <f>+D75-203394</f>
        <v>214260</v>
      </c>
      <c r="H75" s="24">
        <f>(+F75-G75)/G75</f>
        <v>-0.06904695230094278</v>
      </c>
      <c r="I75" s="25">
        <f>K75/C75</f>
        <v>40.33039774153074</v>
      </c>
      <c r="J75" s="25">
        <f>K75/F75</f>
        <v>75.7390416913158</v>
      </c>
      <c r="K75" s="22">
        <v>15107363.69</v>
      </c>
      <c r="L75" s="22">
        <v>16281463.59</v>
      </c>
      <c r="M75" s="26">
        <f t="shared" si="24"/>
        <v>-0.07211267546740252</v>
      </c>
      <c r="N75" s="11"/>
      <c r="R75" s="2"/>
    </row>
    <row r="76" spans="1:18" ht="15.75" thickBot="1">
      <c r="A76" s="39"/>
      <c r="B76" s="21"/>
      <c r="C76" s="22"/>
      <c r="D76" s="22"/>
      <c r="E76" s="24"/>
      <c r="F76" s="22"/>
      <c r="G76" s="22"/>
      <c r="H76" s="24"/>
      <c r="I76" s="25"/>
      <c r="J76" s="25"/>
      <c r="K76" s="22"/>
      <c r="L76" s="22"/>
      <c r="M76" s="26"/>
      <c r="N76" s="11"/>
      <c r="R76" s="2"/>
    </row>
    <row r="77" spans="1:18" ht="17.25" thickBot="1" thickTop="1">
      <c r="A77" s="40" t="s">
        <v>14</v>
      </c>
      <c r="B77" s="41"/>
      <c r="C77" s="42">
        <f>SUM(C65:C76)</f>
        <v>4380281</v>
      </c>
      <c r="D77" s="42">
        <f>SUM(D65:D76)</f>
        <v>4671317</v>
      </c>
      <c r="E77" s="48">
        <f>(+C77-D77)/D77</f>
        <v>-0.06230277243013052</v>
      </c>
      <c r="F77" s="49">
        <f>SUM(F65:F76)</f>
        <v>2301395</v>
      </c>
      <c r="G77" s="50">
        <f>SUM(G65:G76)</f>
        <v>2405382</v>
      </c>
      <c r="H77" s="51">
        <f>(+F77-G77)/G77</f>
        <v>-0.0432309712137199</v>
      </c>
      <c r="I77" s="52">
        <f>K77/C77</f>
        <v>39.79860875135636</v>
      </c>
      <c r="J77" s="53">
        <f>K77/F77</f>
        <v>75.74931280375598</v>
      </c>
      <c r="K77" s="50">
        <f>SUM(K65:K76)</f>
        <v>174329089.74</v>
      </c>
      <c r="L77" s="49">
        <f>SUM(L65:L76)</f>
        <v>178173635.31</v>
      </c>
      <c r="M77" s="46">
        <f>(+K77-L77)/L77</f>
        <v>-0.02157752219238812</v>
      </c>
      <c r="N77" s="11"/>
      <c r="R77" s="2"/>
    </row>
    <row r="78" spans="1:18" ht="16.5" thickTop="1">
      <c r="A78" s="20"/>
      <c r="B78" s="47"/>
      <c r="C78" s="22"/>
      <c r="D78" s="22"/>
      <c r="E78" s="24"/>
      <c r="F78" s="22"/>
      <c r="G78" s="22"/>
      <c r="H78" s="24"/>
      <c r="I78" s="25"/>
      <c r="J78" s="25"/>
      <c r="K78" s="22"/>
      <c r="L78" s="22"/>
      <c r="M78" s="26"/>
      <c r="N78" s="11"/>
      <c r="R78" s="2"/>
    </row>
    <row r="79" spans="1:18" ht="15.75">
      <c r="A79" s="20" t="s">
        <v>18</v>
      </c>
      <c r="B79" s="21">
        <f>DATE(2011,7,1)</f>
        <v>40725</v>
      </c>
      <c r="C79" s="22">
        <v>271052</v>
      </c>
      <c r="D79" s="22">
        <v>270755</v>
      </c>
      <c r="E79" s="24">
        <f aca="true" t="shared" si="25" ref="E79:E89">(+C79-D79)/D79</f>
        <v>0.0010969326512899114</v>
      </c>
      <c r="F79" s="22">
        <f>+C79-131080</f>
        <v>139972</v>
      </c>
      <c r="G79" s="22">
        <f>+D79-133059</f>
        <v>137696</v>
      </c>
      <c r="H79" s="24">
        <f aca="true" t="shared" si="26" ref="H79:H87">(+F79-G79)/G79</f>
        <v>0.016529165698349987</v>
      </c>
      <c r="I79" s="25">
        <f aca="true" t="shared" si="27" ref="I79:I87">K79/C79</f>
        <v>26.890415676696723</v>
      </c>
      <c r="J79" s="25">
        <f aca="true" t="shared" si="28" ref="J79:J87">K79/F79</f>
        <v>52.07256415568828</v>
      </c>
      <c r="K79" s="22">
        <v>7288700.95</v>
      </c>
      <c r="L79" s="22">
        <v>7103159.57</v>
      </c>
      <c r="M79" s="26">
        <f aca="true" t="shared" si="29" ref="M79:M89">(+K79-L79)/L79</f>
        <v>0.02612096464559642</v>
      </c>
      <c r="N79" s="11"/>
      <c r="R79" s="2"/>
    </row>
    <row r="80" spans="1:18" ht="15.75">
      <c r="A80" s="20"/>
      <c r="B80" s="21">
        <f>DATE(2011,8,1)</f>
        <v>40756</v>
      </c>
      <c r="C80" s="22">
        <v>279281</v>
      </c>
      <c r="D80" s="22">
        <v>266454</v>
      </c>
      <c r="E80" s="24">
        <f t="shared" si="25"/>
        <v>0.04813964136398778</v>
      </c>
      <c r="F80" s="22">
        <f>+C80-136176</f>
        <v>143105</v>
      </c>
      <c r="G80" s="22">
        <f>+D80-128500</f>
        <v>137954</v>
      </c>
      <c r="H80" s="24">
        <f t="shared" si="26"/>
        <v>0.03733853313423315</v>
      </c>
      <c r="I80" s="25">
        <f t="shared" si="27"/>
        <v>25.61911880865508</v>
      </c>
      <c r="J80" s="25">
        <f t="shared" si="28"/>
        <v>49.997785681842004</v>
      </c>
      <c r="K80" s="22">
        <v>7154933.12</v>
      </c>
      <c r="L80" s="22">
        <v>7028397.27</v>
      </c>
      <c r="M80" s="26">
        <f t="shared" si="29"/>
        <v>0.018003514192361608</v>
      </c>
      <c r="N80" s="11"/>
      <c r="R80" s="2"/>
    </row>
    <row r="81" spans="1:18" ht="15.75">
      <c r="A81" s="20"/>
      <c r="B81" s="21">
        <f>DATE(2011,9,1)</f>
        <v>40787</v>
      </c>
      <c r="C81" s="22">
        <v>258947</v>
      </c>
      <c r="D81" s="22">
        <v>252172</v>
      </c>
      <c r="E81" s="24">
        <f t="shared" si="25"/>
        <v>0.026866583125803024</v>
      </c>
      <c r="F81" s="22">
        <f>+C81-125392</f>
        <v>133555</v>
      </c>
      <c r="G81" s="22">
        <f>+D81-123375</f>
        <v>128797</v>
      </c>
      <c r="H81" s="24">
        <f t="shared" si="26"/>
        <v>0.0369418542357353</v>
      </c>
      <c r="I81" s="25">
        <f t="shared" si="27"/>
        <v>26.841962641003757</v>
      </c>
      <c r="J81" s="25">
        <f t="shared" si="28"/>
        <v>52.04332072928756</v>
      </c>
      <c r="K81" s="22">
        <v>6950645.7</v>
      </c>
      <c r="L81" s="22">
        <v>6741742.94</v>
      </c>
      <c r="M81" s="26">
        <f t="shared" si="29"/>
        <v>0.03098646178876701</v>
      </c>
      <c r="N81" s="11"/>
      <c r="R81" s="2"/>
    </row>
    <row r="82" spans="1:18" ht="15.75">
      <c r="A82" s="20"/>
      <c r="B82" s="21">
        <f>DATE(2011,10,1)</f>
        <v>40817</v>
      </c>
      <c r="C82" s="22">
        <v>268815</v>
      </c>
      <c r="D82" s="22">
        <v>279784</v>
      </c>
      <c r="E82" s="24">
        <f t="shared" si="25"/>
        <v>-0.03920524404540646</v>
      </c>
      <c r="F82" s="22">
        <f>+C82-135203</f>
        <v>133612</v>
      </c>
      <c r="G82" s="22">
        <f>+D82-143403</f>
        <v>136381</v>
      </c>
      <c r="H82" s="24">
        <f t="shared" si="26"/>
        <v>-0.020303414698528387</v>
      </c>
      <c r="I82" s="25">
        <f t="shared" si="27"/>
        <v>25.86220229525882</v>
      </c>
      <c r="J82" s="25">
        <f t="shared" si="28"/>
        <v>52.032361689069845</v>
      </c>
      <c r="K82" s="22">
        <v>6952147.91</v>
      </c>
      <c r="L82" s="22">
        <v>6964850.88</v>
      </c>
      <c r="M82" s="26">
        <f t="shared" si="29"/>
        <v>-0.0018238681945764415</v>
      </c>
      <c r="N82" s="11"/>
      <c r="R82" s="2"/>
    </row>
    <row r="83" spans="1:18" ht="15.75">
      <c r="A83" s="20"/>
      <c r="B83" s="21">
        <f>DATE(2011,11,1)</f>
        <v>40848</v>
      </c>
      <c r="C83" s="22">
        <v>240688</v>
      </c>
      <c r="D83" s="22">
        <v>239428</v>
      </c>
      <c r="E83" s="24">
        <f t="shared" si="25"/>
        <v>0.005262542392702608</v>
      </c>
      <c r="F83" s="22">
        <f>+C83-116896</f>
        <v>123792</v>
      </c>
      <c r="G83" s="22">
        <f>+D83-119595</f>
        <v>119833</v>
      </c>
      <c r="H83" s="24">
        <f t="shared" si="26"/>
        <v>0.03303764405464271</v>
      </c>
      <c r="I83" s="25">
        <f t="shared" si="27"/>
        <v>27.513594155088747</v>
      </c>
      <c r="J83" s="25">
        <f t="shared" si="28"/>
        <v>53.494506510921546</v>
      </c>
      <c r="K83" s="22">
        <v>6622191.95</v>
      </c>
      <c r="L83" s="22">
        <v>6340724.02</v>
      </c>
      <c r="M83" s="26">
        <f t="shared" si="29"/>
        <v>0.044390503215751165</v>
      </c>
      <c r="N83" s="11"/>
      <c r="R83" s="2"/>
    </row>
    <row r="84" spans="1:18" ht="15.75">
      <c r="A84" s="20"/>
      <c r="B84" s="21">
        <f>DATE(2011,12,1)</f>
        <v>40878</v>
      </c>
      <c r="C84" s="22">
        <v>249066</v>
      </c>
      <c r="D84" s="22">
        <v>243720</v>
      </c>
      <c r="E84" s="24">
        <f t="shared" si="25"/>
        <v>0.021935007385524372</v>
      </c>
      <c r="F84" s="22">
        <f>+C84-122439</f>
        <v>126627</v>
      </c>
      <c r="G84" s="22">
        <f>+D84-120126</f>
        <v>123594</v>
      </c>
      <c r="H84" s="24">
        <f t="shared" si="26"/>
        <v>0.0245400262148648</v>
      </c>
      <c r="I84" s="25">
        <f t="shared" si="27"/>
        <v>28.566098584310986</v>
      </c>
      <c r="J84" s="25">
        <f t="shared" si="28"/>
        <v>56.18741587497137</v>
      </c>
      <c r="K84" s="22">
        <v>7114843.91</v>
      </c>
      <c r="L84" s="22">
        <v>6789356.3</v>
      </c>
      <c r="M84" s="26">
        <f t="shared" si="29"/>
        <v>0.047940864438061725</v>
      </c>
      <c r="N84" s="11"/>
      <c r="R84" s="2"/>
    </row>
    <row r="85" spans="1:18" ht="15.75">
      <c r="A85" s="20"/>
      <c r="B85" s="21">
        <f>DATE(2012,1,1)</f>
        <v>40909</v>
      </c>
      <c r="C85" s="22">
        <v>266875</v>
      </c>
      <c r="D85" s="22">
        <v>231024</v>
      </c>
      <c r="E85" s="24">
        <f t="shared" si="25"/>
        <v>0.1551830112888704</v>
      </c>
      <c r="F85" s="22">
        <f>+C85-129574</f>
        <v>137301</v>
      </c>
      <c r="G85" s="22">
        <f>+D85-117146</f>
        <v>113878</v>
      </c>
      <c r="H85" s="24">
        <f t="shared" si="26"/>
        <v>0.20568503134933877</v>
      </c>
      <c r="I85" s="25">
        <f t="shared" si="27"/>
        <v>26.38468608899297</v>
      </c>
      <c r="J85" s="25">
        <f t="shared" si="28"/>
        <v>51.28449974872725</v>
      </c>
      <c r="K85" s="22">
        <v>7041413.1</v>
      </c>
      <c r="L85" s="22">
        <v>6129845.11</v>
      </c>
      <c r="M85" s="26">
        <f t="shared" si="29"/>
        <v>0.148709791787871</v>
      </c>
      <c r="N85" s="11"/>
      <c r="R85" s="2"/>
    </row>
    <row r="86" spans="1:18" ht="15.75">
      <c r="A86" s="20"/>
      <c r="B86" s="21">
        <f>DATE(2012,2,1)</f>
        <v>40940</v>
      </c>
      <c r="C86" s="22">
        <v>269768</v>
      </c>
      <c r="D86" s="22">
        <v>243860</v>
      </c>
      <c r="E86" s="24">
        <f t="shared" si="25"/>
        <v>0.10624128598376117</v>
      </c>
      <c r="F86" s="22">
        <f>+C86-132236</f>
        <v>137532</v>
      </c>
      <c r="G86" s="22">
        <f>+D86-126610</f>
        <v>117250</v>
      </c>
      <c r="H86" s="24">
        <f t="shared" si="26"/>
        <v>0.17298081023454157</v>
      </c>
      <c r="I86" s="25">
        <f t="shared" si="27"/>
        <v>29.703092175498945</v>
      </c>
      <c r="J86" s="25">
        <f t="shared" si="28"/>
        <v>58.26239544251519</v>
      </c>
      <c r="K86" s="22">
        <v>8012943.77</v>
      </c>
      <c r="L86" s="22">
        <v>7281612.21</v>
      </c>
      <c r="M86" s="26">
        <f t="shared" si="29"/>
        <v>0.10043538970609361</v>
      </c>
      <c r="N86" s="11"/>
      <c r="R86" s="2"/>
    </row>
    <row r="87" spans="1:18" ht="15.75">
      <c r="A87" s="20"/>
      <c r="B87" s="21">
        <f>DATE(2012,3,1)</f>
        <v>40969</v>
      </c>
      <c r="C87" s="22">
        <v>280392</v>
      </c>
      <c r="D87" s="22">
        <v>265430</v>
      </c>
      <c r="E87" s="24">
        <f t="shared" si="25"/>
        <v>0.05636891082394605</v>
      </c>
      <c r="F87" s="22">
        <f>+C87-135146</f>
        <v>145246</v>
      </c>
      <c r="G87" s="22">
        <f>+D87-132226</f>
        <v>133204</v>
      </c>
      <c r="H87" s="24">
        <f t="shared" si="26"/>
        <v>0.09040269060989159</v>
      </c>
      <c r="I87" s="25">
        <f t="shared" si="27"/>
        <v>28.299261854831805</v>
      </c>
      <c r="J87" s="25">
        <f t="shared" si="28"/>
        <v>54.63067230767112</v>
      </c>
      <c r="K87" s="22">
        <v>7934886.63</v>
      </c>
      <c r="L87" s="22">
        <v>7918686.12</v>
      </c>
      <c r="M87" s="26">
        <f t="shared" si="29"/>
        <v>0.0020458583348925284</v>
      </c>
      <c r="N87" s="11"/>
      <c r="R87" s="2"/>
    </row>
    <row r="88" spans="1:18" ht="15.75">
      <c r="A88" s="20"/>
      <c r="B88" s="21">
        <f>DATE(2012,4,1)</f>
        <v>41000</v>
      </c>
      <c r="C88" s="22">
        <v>253763</v>
      </c>
      <c r="D88" s="22">
        <v>251060</v>
      </c>
      <c r="E88" s="24">
        <f t="shared" si="25"/>
        <v>0.010766350673145861</v>
      </c>
      <c r="F88" s="22">
        <f>C88-124122</f>
        <v>129641</v>
      </c>
      <c r="G88" s="22">
        <f>D88-123659</f>
        <v>127401</v>
      </c>
      <c r="H88" s="24">
        <f>(+F88-G88)/G88</f>
        <v>0.01758227957394369</v>
      </c>
      <c r="I88" s="25">
        <f>K88/C88</f>
        <v>27.88841131291796</v>
      </c>
      <c r="J88" s="25">
        <f>K88/F88</f>
        <v>54.5895736688239</v>
      </c>
      <c r="K88" s="22">
        <v>7077046.92</v>
      </c>
      <c r="L88" s="22">
        <v>7387278.35</v>
      </c>
      <c r="M88" s="26">
        <f t="shared" si="29"/>
        <v>-0.04199536220264392</v>
      </c>
      <c r="N88" s="11"/>
      <c r="R88" s="2"/>
    </row>
    <row r="89" spans="1:18" ht="15.75">
      <c r="A89" s="20"/>
      <c r="B89" s="21">
        <f>DATE(2012,5,1)</f>
        <v>41030</v>
      </c>
      <c r="C89" s="22">
        <v>253672</v>
      </c>
      <c r="D89" s="22">
        <v>251305</v>
      </c>
      <c r="E89" s="24">
        <f t="shared" si="25"/>
        <v>0.009418833688147868</v>
      </c>
      <c r="F89" s="22">
        <f>+C89-123535</f>
        <v>130137</v>
      </c>
      <c r="G89" s="22">
        <f>+D89-123255</f>
        <v>128050</v>
      </c>
      <c r="H89" s="24">
        <f>(+F89-G89)/G89</f>
        <v>0.016298320968371728</v>
      </c>
      <c r="I89" s="25">
        <f>K89/C89</f>
        <v>27.42049619193289</v>
      </c>
      <c r="J89" s="25">
        <f>K89/F89</f>
        <v>53.44991900842958</v>
      </c>
      <c r="K89" s="22">
        <v>6955812.11</v>
      </c>
      <c r="L89" s="22">
        <v>7092888.8</v>
      </c>
      <c r="M89" s="26">
        <f t="shared" si="29"/>
        <v>-0.019325932474790735</v>
      </c>
      <c r="N89" s="11"/>
      <c r="R89" s="2"/>
    </row>
    <row r="90" spans="1:18" ht="17.25" customHeight="1" thickBot="1">
      <c r="A90" s="20"/>
      <c r="B90" s="47"/>
      <c r="C90" s="22"/>
      <c r="D90" s="22"/>
      <c r="E90" s="24"/>
      <c r="F90" s="22"/>
      <c r="G90" s="22"/>
      <c r="H90" s="24"/>
      <c r="I90" s="25"/>
      <c r="J90" s="25"/>
      <c r="K90" s="22"/>
      <c r="L90" s="22"/>
      <c r="M90" s="26"/>
      <c r="N90" s="11"/>
      <c r="R90" s="2"/>
    </row>
    <row r="91" spans="1:18" ht="17.25" customHeight="1" thickBot="1" thickTop="1">
      <c r="A91" s="40" t="s">
        <v>14</v>
      </c>
      <c r="B91" s="54"/>
      <c r="C91" s="49">
        <f>SUM(C79:C90)</f>
        <v>2892319</v>
      </c>
      <c r="D91" s="50">
        <f>SUM(D79:D90)</f>
        <v>2794992</v>
      </c>
      <c r="E91" s="48">
        <f>(+C91-D91)/D91</f>
        <v>0.03482192435613411</v>
      </c>
      <c r="F91" s="50">
        <f>SUM(F79:F90)</f>
        <v>1480520</v>
      </c>
      <c r="G91" s="49">
        <f>SUM(G79:G90)</f>
        <v>1404038</v>
      </c>
      <c r="H91" s="55">
        <f>(+F91-G91)/G91</f>
        <v>0.054472884637025494</v>
      </c>
      <c r="I91" s="53">
        <f>K91/C91</f>
        <v>27.350221766686182</v>
      </c>
      <c r="J91" s="52">
        <f>K91/F91</f>
        <v>53.430933773268855</v>
      </c>
      <c r="K91" s="49">
        <f>SUM(K79:K90)</f>
        <v>79105566.07000001</v>
      </c>
      <c r="L91" s="50">
        <f>SUM(L79:L90)</f>
        <v>76778541.57</v>
      </c>
      <c r="M91" s="46">
        <f>(+K91-L91)/L91</f>
        <v>0.030308266508011703</v>
      </c>
      <c r="N91" s="11"/>
      <c r="R91" s="2"/>
    </row>
    <row r="92" spans="1:18" ht="15.75" customHeight="1" thickTop="1">
      <c r="A92" s="20"/>
      <c r="B92" s="47"/>
      <c r="C92" s="22"/>
      <c r="D92" s="22"/>
      <c r="E92" s="24"/>
      <c r="F92" s="22"/>
      <c r="G92" s="22"/>
      <c r="H92" s="24"/>
      <c r="I92" s="25"/>
      <c r="J92" s="25"/>
      <c r="K92" s="22"/>
      <c r="L92" s="22"/>
      <c r="M92" s="26"/>
      <c r="N92" s="11"/>
      <c r="R92" s="2"/>
    </row>
    <row r="93" spans="1:18" ht="15.75" customHeight="1">
      <c r="A93" s="20" t="s">
        <v>60</v>
      </c>
      <c r="B93" s="21">
        <f>DATE(2011,7,1)</f>
        <v>40725</v>
      </c>
      <c r="C93" s="22">
        <v>570848</v>
      </c>
      <c r="D93" s="22">
        <v>602289</v>
      </c>
      <c r="E93" s="24">
        <f aca="true" t="shared" si="30" ref="E93:E103">(+C93-D93)/D93</f>
        <v>-0.052202514075468755</v>
      </c>
      <c r="F93" s="22">
        <f>+C93-276852</f>
        <v>293996</v>
      </c>
      <c r="G93" s="22">
        <f>+D93-299646</f>
        <v>302643</v>
      </c>
      <c r="H93" s="24">
        <f aca="true" t="shared" si="31" ref="H93:H101">(+F93-G93)/G93</f>
        <v>-0.028571617384178717</v>
      </c>
      <c r="I93" s="25">
        <f aca="true" t="shared" si="32" ref="I93:I101">K93/C93</f>
        <v>26.603223187258255</v>
      </c>
      <c r="J93" s="25">
        <f aca="true" t="shared" si="33" ref="J93:J101">K93/F93</f>
        <v>51.655113504945646</v>
      </c>
      <c r="K93" s="22">
        <v>15186396.75</v>
      </c>
      <c r="L93" s="22">
        <v>14965980.17</v>
      </c>
      <c r="M93" s="26">
        <f aca="true" t="shared" si="34" ref="M93:M103">(+K93-L93)/L93</f>
        <v>0.01472784124369183</v>
      </c>
      <c r="N93" s="11"/>
      <c r="R93" s="2"/>
    </row>
    <row r="94" spans="1:18" ht="15.75" customHeight="1">
      <c r="A94" s="20"/>
      <c r="B94" s="21">
        <f>DATE(2011,8,1)</f>
        <v>40756</v>
      </c>
      <c r="C94" s="22">
        <v>520239</v>
      </c>
      <c r="D94" s="22">
        <v>577738</v>
      </c>
      <c r="E94" s="24">
        <f t="shared" si="30"/>
        <v>-0.0995243518688402</v>
      </c>
      <c r="F94" s="22">
        <f>+C94-247111</f>
        <v>273128</v>
      </c>
      <c r="G94" s="22">
        <f>+D94-290623</f>
        <v>287115</v>
      </c>
      <c r="H94" s="24">
        <f t="shared" si="31"/>
        <v>-0.04871567142085924</v>
      </c>
      <c r="I94" s="25">
        <f t="shared" si="32"/>
        <v>26.43704468523121</v>
      </c>
      <c r="J94" s="25">
        <f t="shared" si="33"/>
        <v>50.3558100597522</v>
      </c>
      <c r="K94" s="22">
        <v>13753581.69</v>
      </c>
      <c r="L94" s="22">
        <v>14502844.38</v>
      </c>
      <c r="M94" s="26">
        <f t="shared" si="34"/>
        <v>-0.0516631545073506</v>
      </c>
      <c r="N94" s="11"/>
      <c r="R94" s="2"/>
    </row>
    <row r="95" spans="1:18" ht="15.75" customHeight="1">
      <c r="A95" s="20"/>
      <c r="B95" s="21">
        <f>DATE(2011,9,1)</f>
        <v>40787</v>
      </c>
      <c r="C95" s="22">
        <v>532718</v>
      </c>
      <c r="D95" s="22">
        <v>563799</v>
      </c>
      <c r="E95" s="24">
        <f t="shared" si="30"/>
        <v>-0.05512780263888371</v>
      </c>
      <c r="F95" s="22">
        <f>+C95-257415</f>
        <v>275303</v>
      </c>
      <c r="G95" s="22">
        <f>+D95-274665</f>
        <v>289134</v>
      </c>
      <c r="H95" s="24">
        <f t="shared" si="31"/>
        <v>-0.04783595149653794</v>
      </c>
      <c r="I95" s="25">
        <f t="shared" si="32"/>
        <v>27.193230414590836</v>
      </c>
      <c r="J95" s="25">
        <f t="shared" si="33"/>
        <v>52.619562155152686</v>
      </c>
      <c r="K95" s="22">
        <v>14486323.32</v>
      </c>
      <c r="L95" s="22">
        <v>13413869.02</v>
      </c>
      <c r="M95" s="26">
        <f t="shared" si="34"/>
        <v>0.07995115342195289</v>
      </c>
      <c r="N95" s="11"/>
      <c r="R95" s="2"/>
    </row>
    <row r="96" spans="1:18" ht="15.75" customHeight="1">
      <c r="A96" s="20"/>
      <c r="B96" s="21">
        <f>DATE(2011,10,1)</f>
        <v>40817</v>
      </c>
      <c r="C96" s="22">
        <v>514282</v>
      </c>
      <c r="D96" s="22">
        <v>550559</v>
      </c>
      <c r="E96" s="24">
        <f t="shared" si="30"/>
        <v>-0.06589121238595681</v>
      </c>
      <c r="F96" s="22">
        <f>+C96-248062</f>
        <v>266220</v>
      </c>
      <c r="G96" s="22">
        <f>+D96-267950</f>
        <v>282609</v>
      </c>
      <c r="H96" s="24">
        <f t="shared" si="31"/>
        <v>-0.05799178370115601</v>
      </c>
      <c r="I96" s="25">
        <f t="shared" si="32"/>
        <v>27.164588241470632</v>
      </c>
      <c r="J96" s="25">
        <f t="shared" si="33"/>
        <v>52.47636830440989</v>
      </c>
      <c r="K96" s="22">
        <v>13970258.77</v>
      </c>
      <c r="L96" s="22">
        <v>14738642.01</v>
      </c>
      <c r="M96" s="26">
        <f t="shared" si="34"/>
        <v>-0.05213392383631144</v>
      </c>
      <c r="N96" s="11"/>
      <c r="R96" s="2"/>
    </row>
    <row r="97" spans="1:18" ht="15.75" customHeight="1">
      <c r="A97" s="20"/>
      <c r="B97" s="21">
        <f>DATE(2011,11,1)</f>
        <v>40848</v>
      </c>
      <c r="C97" s="22">
        <v>471192</v>
      </c>
      <c r="D97" s="22">
        <v>477998</v>
      </c>
      <c r="E97" s="24">
        <f t="shared" si="30"/>
        <v>-0.01423855329938619</v>
      </c>
      <c r="F97" s="22">
        <f>+C97-231470</f>
        <v>239722</v>
      </c>
      <c r="G97" s="22">
        <f>+D97-237031</f>
        <v>240967</v>
      </c>
      <c r="H97" s="24">
        <f t="shared" si="31"/>
        <v>-0.005166682574792399</v>
      </c>
      <c r="I97" s="25">
        <f t="shared" si="32"/>
        <v>28.04035509940746</v>
      </c>
      <c r="J97" s="25">
        <f t="shared" si="33"/>
        <v>55.11547125420279</v>
      </c>
      <c r="K97" s="22">
        <v>13212391</v>
      </c>
      <c r="L97" s="22">
        <v>12791852.51</v>
      </c>
      <c r="M97" s="26">
        <f t="shared" si="34"/>
        <v>0.03287549552898966</v>
      </c>
      <c r="N97" s="11"/>
      <c r="R97" s="2"/>
    </row>
    <row r="98" spans="1:18" ht="15.75" customHeight="1">
      <c r="A98" s="20"/>
      <c r="B98" s="21">
        <f>DATE(2011,12,1)</f>
        <v>40878</v>
      </c>
      <c r="C98" s="22">
        <v>486386</v>
      </c>
      <c r="D98" s="22">
        <v>527668</v>
      </c>
      <c r="E98" s="24">
        <f t="shared" si="30"/>
        <v>-0.0782347991540135</v>
      </c>
      <c r="F98" s="22">
        <f>+C98-245438</f>
        <v>240948</v>
      </c>
      <c r="G98" s="22">
        <f>+D98-263129</f>
        <v>264539</v>
      </c>
      <c r="H98" s="24">
        <f t="shared" si="31"/>
        <v>-0.08917777718975274</v>
      </c>
      <c r="I98" s="25">
        <f t="shared" si="32"/>
        <v>27.570764228411182</v>
      </c>
      <c r="J98" s="25">
        <f t="shared" si="33"/>
        <v>55.65530209837807</v>
      </c>
      <c r="K98" s="22">
        <v>13410033.73</v>
      </c>
      <c r="L98" s="22">
        <v>13696510.73</v>
      </c>
      <c r="M98" s="26">
        <f t="shared" si="34"/>
        <v>-0.02091605706353504</v>
      </c>
      <c r="N98" s="11"/>
      <c r="R98" s="2"/>
    </row>
    <row r="99" spans="1:18" ht="15.75" customHeight="1">
      <c r="A99" s="20"/>
      <c r="B99" s="21">
        <f>DATE(2012,1,1)</f>
        <v>40909</v>
      </c>
      <c r="C99" s="22">
        <v>448659</v>
      </c>
      <c r="D99" s="22">
        <v>518874</v>
      </c>
      <c r="E99" s="24">
        <f t="shared" si="30"/>
        <v>-0.13532187004937615</v>
      </c>
      <c r="F99" s="22">
        <f>+C99-232940</f>
        <v>215719</v>
      </c>
      <c r="G99" s="22">
        <f>+D99-258632</f>
        <v>260242</v>
      </c>
      <c r="H99" s="24">
        <f t="shared" si="31"/>
        <v>-0.17108306883592964</v>
      </c>
      <c r="I99" s="25">
        <f t="shared" si="32"/>
        <v>28.025846622936353</v>
      </c>
      <c r="J99" s="25">
        <f t="shared" si="33"/>
        <v>58.28901635924513</v>
      </c>
      <c r="K99" s="22">
        <v>12574048.32</v>
      </c>
      <c r="L99" s="22">
        <v>13997402.61</v>
      </c>
      <c r="M99" s="26">
        <f t="shared" si="34"/>
        <v>-0.10168702934808269</v>
      </c>
      <c r="N99" s="11"/>
      <c r="R99" s="2"/>
    </row>
    <row r="100" spans="1:18" ht="15.75" customHeight="1">
      <c r="A100" s="20"/>
      <c r="B100" s="21">
        <f>DATE(2012,2,1)</f>
        <v>40940</v>
      </c>
      <c r="C100" s="22">
        <v>490243</v>
      </c>
      <c r="D100" s="22">
        <v>563924</v>
      </c>
      <c r="E100" s="24">
        <f t="shared" si="30"/>
        <v>-0.13065767727566127</v>
      </c>
      <c r="F100" s="22">
        <f>+C100-260086</f>
        <v>230157</v>
      </c>
      <c r="G100" s="22">
        <f>+D100-285908</f>
        <v>278016</v>
      </c>
      <c r="H100" s="24">
        <f t="shared" si="31"/>
        <v>-0.17214476864640885</v>
      </c>
      <c r="I100" s="25">
        <f t="shared" si="32"/>
        <v>31.44536099444561</v>
      </c>
      <c r="J100" s="25">
        <f t="shared" si="33"/>
        <v>66.97979253292317</v>
      </c>
      <c r="K100" s="22">
        <v>15415868.11</v>
      </c>
      <c r="L100" s="22">
        <v>15624513.91</v>
      </c>
      <c r="M100" s="26">
        <f t="shared" si="34"/>
        <v>-0.013353746631852865</v>
      </c>
      <c r="N100" s="11"/>
      <c r="R100" s="2"/>
    </row>
    <row r="101" spans="1:18" ht="15.75" customHeight="1">
      <c r="A101" s="20"/>
      <c r="B101" s="21">
        <f>DATE(2012,3,1)</f>
        <v>40969</v>
      </c>
      <c r="C101" s="22">
        <v>509035</v>
      </c>
      <c r="D101" s="22">
        <v>591409</v>
      </c>
      <c r="E101" s="24">
        <f t="shared" si="30"/>
        <v>-0.13928431931201588</v>
      </c>
      <c r="F101" s="22">
        <f>+C101-262690</f>
        <v>246345</v>
      </c>
      <c r="G101" s="22">
        <f>+D101-297775</f>
        <v>293634</v>
      </c>
      <c r="H101" s="24">
        <f t="shared" si="31"/>
        <v>-0.16104742638795236</v>
      </c>
      <c r="I101" s="25">
        <f t="shared" si="32"/>
        <v>30.167061852328427</v>
      </c>
      <c r="J101" s="25">
        <f t="shared" si="33"/>
        <v>62.33570939130082</v>
      </c>
      <c r="K101" s="22">
        <v>15356090.33</v>
      </c>
      <c r="L101" s="22">
        <v>15775183.4</v>
      </c>
      <c r="M101" s="26">
        <f t="shared" si="34"/>
        <v>-0.026566605241495976</v>
      </c>
      <c r="N101" s="11"/>
      <c r="R101" s="2"/>
    </row>
    <row r="102" spans="1:18" ht="15.75" customHeight="1">
      <c r="A102" s="20"/>
      <c r="B102" s="21">
        <f>DATE(2012,4,1)</f>
        <v>41000</v>
      </c>
      <c r="C102" s="22">
        <v>436162</v>
      </c>
      <c r="D102" s="22">
        <v>541609</v>
      </c>
      <c r="E102" s="24">
        <f t="shared" si="30"/>
        <v>-0.1946921118371371</v>
      </c>
      <c r="F102" s="22">
        <f>+C102-225186</f>
        <v>210976</v>
      </c>
      <c r="G102" s="22">
        <f>D102-267950</f>
        <v>273659</v>
      </c>
      <c r="H102" s="24">
        <f>(+F102-G102)/G102</f>
        <v>-0.2290551379636701</v>
      </c>
      <c r="I102" s="25">
        <f>K102/C102</f>
        <v>30.73679765775102</v>
      </c>
      <c r="J102" s="25">
        <f>K102/F102</f>
        <v>63.5438302934931</v>
      </c>
      <c r="K102" s="22">
        <v>13406223.14</v>
      </c>
      <c r="L102" s="22">
        <v>14923442.84</v>
      </c>
      <c r="M102" s="26">
        <f t="shared" si="34"/>
        <v>-0.10166686844762957</v>
      </c>
      <c r="N102" s="11"/>
      <c r="R102" s="2"/>
    </row>
    <row r="103" spans="1:18" ht="15.75" customHeight="1">
      <c r="A103" s="20"/>
      <c r="B103" s="21">
        <f>DATE(2012,5,1)</f>
        <v>41030</v>
      </c>
      <c r="C103" s="22">
        <v>462683</v>
      </c>
      <c r="D103" s="22">
        <v>532451</v>
      </c>
      <c r="E103" s="24">
        <f t="shared" si="30"/>
        <v>-0.1310317756939136</v>
      </c>
      <c r="F103" s="22">
        <f>+C103-232712</f>
        <v>229971</v>
      </c>
      <c r="G103" s="22">
        <f>+D103-266230</f>
        <v>266221</v>
      </c>
      <c r="H103" s="24">
        <f>(+F103-G103)/G103</f>
        <v>-0.1361650658663291</v>
      </c>
      <c r="I103" s="25">
        <f>K103/C103</f>
        <v>30.27520764756864</v>
      </c>
      <c r="J103" s="25">
        <f>K103/F103</f>
        <v>60.91126228959304</v>
      </c>
      <c r="K103" s="22">
        <v>14007823.9</v>
      </c>
      <c r="L103" s="22">
        <v>14787094.94</v>
      </c>
      <c r="M103" s="26">
        <f t="shared" si="34"/>
        <v>-0.05269940060315858</v>
      </c>
      <c r="N103" s="11"/>
      <c r="R103" s="2"/>
    </row>
    <row r="104" spans="1:18" ht="15.75" customHeight="1" thickBot="1">
      <c r="A104" s="20"/>
      <c r="B104" s="47"/>
      <c r="C104" s="22"/>
      <c r="D104" s="22"/>
      <c r="E104" s="24"/>
      <c r="F104" s="22"/>
      <c r="G104" s="22"/>
      <c r="H104" s="24"/>
      <c r="I104" s="25"/>
      <c r="J104" s="25"/>
      <c r="K104" s="22"/>
      <c r="L104" s="22"/>
      <c r="M104" s="26"/>
      <c r="N104" s="11"/>
      <c r="R104" s="2"/>
    </row>
    <row r="105" spans="1:18" ht="17.25" thickBot="1" thickTop="1">
      <c r="A105" s="40" t="s">
        <v>14</v>
      </c>
      <c r="B105" s="41"/>
      <c r="C105" s="42">
        <f>SUM(C93:C104)</f>
        <v>5442447</v>
      </c>
      <c r="D105" s="42">
        <f>SUM(D93:D104)</f>
        <v>6048318</v>
      </c>
      <c r="E105" s="43">
        <f>(+C105-D105)/D105</f>
        <v>-0.10017181636283012</v>
      </c>
      <c r="F105" s="42">
        <f>SUM(F93:F104)</f>
        <v>2722485</v>
      </c>
      <c r="G105" s="42">
        <f>SUM(G93:G104)</f>
        <v>3038779</v>
      </c>
      <c r="H105" s="44">
        <f>(+F105-G105)/G105</f>
        <v>-0.10408588449505542</v>
      </c>
      <c r="I105" s="45">
        <f>K105/C105</f>
        <v>28.439236810206886</v>
      </c>
      <c r="J105" s="45">
        <f>K105/F105</f>
        <v>56.85211821552737</v>
      </c>
      <c r="K105" s="42">
        <f>SUM(K93:K104)</f>
        <v>154779039.06000003</v>
      </c>
      <c r="L105" s="42">
        <f>SUM(L93:L104)</f>
        <v>159217336.52</v>
      </c>
      <c r="M105" s="46">
        <f>(+K105-L105)/L105</f>
        <v>-0.027875717286870102</v>
      </c>
      <c r="N105" s="11"/>
      <c r="R105" s="2"/>
    </row>
    <row r="106" spans="1:18" ht="15.75" customHeight="1" thickTop="1">
      <c r="A106" s="56"/>
      <c r="B106" s="57"/>
      <c r="C106" s="57"/>
      <c r="D106" s="57"/>
      <c r="E106" s="58"/>
      <c r="F106" s="57"/>
      <c r="G106" s="57"/>
      <c r="H106" s="58"/>
      <c r="I106" s="57"/>
      <c r="J106" s="57"/>
      <c r="K106" s="202"/>
      <c r="L106" s="202"/>
      <c r="M106" s="59"/>
      <c r="N106" s="11"/>
      <c r="R106" s="2"/>
    </row>
    <row r="107" spans="1:18" ht="15.75" customHeight="1">
      <c r="A107" s="20" t="s">
        <v>19</v>
      </c>
      <c r="B107" s="21">
        <f>DATE(2011,7,1)</f>
        <v>40725</v>
      </c>
      <c r="C107" s="22">
        <v>656343</v>
      </c>
      <c r="D107" s="22">
        <v>754533</v>
      </c>
      <c r="E107" s="24">
        <f aca="true" t="shared" si="35" ref="E107:E117">(+C107-D107)/D107</f>
        <v>-0.13013347328745065</v>
      </c>
      <c r="F107" s="22">
        <f>+C107-343037</f>
        <v>313306</v>
      </c>
      <c r="G107" s="22">
        <f>+D107-412858</f>
        <v>341675</v>
      </c>
      <c r="H107" s="24">
        <f aca="true" t="shared" si="36" ref="H107:H115">(+F107-G107)/G107</f>
        <v>-0.08302919440989244</v>
      </c>
      <c r="I107" s="25">
        <f aca="true" t="shared" si="37" ref="I107:I115">K107/C107</f>
        <v>32.45357898233089</v>
      </c>
      <c r="J107" s="25">
        <f aca="true" t="shared" si="38" ref="J107:J115">K107/F107</f>
        <v>67.98682243557417</v>
      </c>
      <c r="K107" s="22">
        <v>21300679.39</v>
      </c>
      <c r="L107" s="22">
        <v>22534328.33</v>
      </c>
      <c r="M107" s="26">
        <f aca="true" t="shared" si="39" ref="M107:M117">(+K107-L107)/L107</f>
        <v>-0.0547453166535094</v>
      </c>
      <c r="N107" s="11"/>
      <c r="R107" s="2"/>
    </row>
    <row r="108" spans="1:18" ht="15.75" customHeight="1">
      <c r="A108" s="20"/>
      <c r="B108" s="21">
        <f>DATE(2011,8,1)</f>
        <v>40756</v>
      </c>
      <c r="C108" s="22">
        <v>584826</v>
      </c>
      <c r="D108" s="22">
        <v>665970</v>
      </c>
      <c r="E108" s="24">
        <f t="shared" si="35"/>
        <v>-0.12184332627595838</v>
      </c>
      <c r="F108" s="22">
        <f>+C108-302555</f>
        <v>282271</v>
      </c>
      <c r="G108" s="22">
        <f>+D108-364578</f>
        <v>301392</v>
      </c>
      <c r="H108" s="24">
        <f t="shared" si="36"/>
        <v>-0.0634422944205553</v>
      </c>
      <c r="I108" s="25">
        <f t="shared" si="37"/>
        <v>32.08718446170314</v>
      </c>
      <c r="J108" s="25">
        <f t="shared" si="38"/>
        <v>66.48015467405436</v>
      </c>
      <c r="K108" s="22">
        <v>18765419.74</v>
      </c>
      <c r="L108" s="22">
        <v>19595945.91</v>
      </c>
      <c r="M108" s="26">
        <f t="shared" si="39"/>
        <v>-0.04238255064667107</v>
      </c>
      <c r="N108" s="11"/>
      <c r="R108" s="2"/>
    </row>
    <row r="109" spans="1:18" ht="15.75" customHeight="1">
      <c r="A109" s="20"/>
      <c r="B109" s="21">
        <f>DATE(2011,9,1)</f>
        <v>40787</v>
      </c>
      <c r="C109" s="22">
        <v>581069</v>
      </c>
      <c r="D109" s="22">
        <v>628226</v>
      </c>
      <c r="E109" s="24">
        <f t="shared" si="35"/>
        <v>-0.07506375094313193</v>
      </c>
      <c r="F109" s="22">
        <f>+C109-306152</f>
        <v>274917</v>
      </c>
      <c r="G109" s="22">
        <f>+D109-343329</f>
        <v>284897</v>
      </c>
      <c r="H109" s="24">
        <f t="shared" si="36"/>
        <v>-0.03503020389825095</v>
      </c>
      <c r="I109" s="25">
        <f t="shared" si="37"/>
        <v>32.53710074018748</v>
      </c>
      <c r="J109" s="25">
        <f t="shared" si="38"/>
        <v>68.77094028379474</v>
      </c>
      <c r="K109" s="22">
        <v>18906300.59</v>
      </c>
      <c r="L109" s="22">
        <v>19182643.29</v>
      </c>
      <c r="M109" s="26">
        <f t="shared" si="39"/>
        <v>-0.014405871798911988</v>
      </c>
      <c r="N109" s="11"/>
      <c r="R109" s="2"/>
    </row>
    <row r="110" spans="1:18" ht="15.75" customHeight="1">
      <c r="A110" s="20"/>
      <c r="B110" s="21">
        <f>DATE(2011,10,1)</f>
        <v>40817</v>
      </c>
      <c r="C110" s="22">
        <v>571488</v>
      </c>
      <c r="D110" s="22">
        <v>648037</v>
      </c>
      <c r="E110" s="24">
        <f t="shared" si="35"/>
        <v>-0.1181244280804954</v>
      </c>
      <c r="F110" s="22">
        <f>+C110-301384</f>
        <v>270104</v>
      </c>
      <c r="G110" s="22">
        <f>+D110-358643</f>
        <v>289394</v>
      </c>
      <c r="H110" s="24">
        <f t="shared" si="36"/>
        <v>-0.06665653054313496</v>
      </c>
      <c r="I110" s="25">
        <f t="shared" si="37"/>
        <v>34.45622564253318</v>
      </c>
      <c r="J110" s="25">
        <f t="shared" si="38"/>
        <v>72.90273183662589</v>
      </c>
      <c r="K110" s="22">
        <v>19691319.48</v>
      </c>
      <c r="L110" s="22">
        <v>19892013.03</v>
      </c>
      <c r="M110" s="26">
        <f t="shared" si="39"/>
        <v>-0.01008915234960515</v>
      </c>
      <c r="N110" s="11"/>
      <c r="R110" s="2"/>
    </row>
    <row r="111" spans="1:18" ht="15.75" customHeight="1">
      <c r="A111" s="20"/>
      <c r="B111" s="21">
        <f>DATE(2011,11,1)</f>
        <v>40848</v>
      </c>
      <c r="C111" s="22">
        <v>569648</v>
      </c>
      <c r="D111" s="22">
        <v>611564</v>
      </c>
      <c r="E111" s="24">
        <f t="shared" si="35"/>
        <v>-0.06853902453381822</v>
      </c>
      <c r="F111" s="22">
        <f>+C111-302498</f>
        <v>267150</v>
      </c>
      <c r="G111" s="22">
        <f>+D111-339571</f>
        <v>271993</v>
      </c>
      <c r="H111" s="24">
        <f t="shared" si="36"/>
        <v>-0.017805605291312643</v>
      </c>
      <c r="I111" s="25">
        <f t="shared" si="37"/>
        <v>33.00307979664635</v>
      </c>
      <c r="J111" s="25">
        <f t="shared" si="38"/>
        <v>70.37296799550813</v>
      </c>
      <c r="K111" s="22">
        <v>18800138.4</v>
      </c>
      <c r="L111" s="22">
        <v>18791915.52</v>
      </c>
      <c r="M111" s="26">
        <f t="shared" si="39"/>
        <v>0.0004375754026377699</v>
      </c>
      <c r="N111" s="11"/>
      <c r="R111" s="2"/>
    </row>
    <row r="112" spans="1:18" ht="15.75" customHeight="1">
      <c r="A112" s="20"/>
      <c r="B112" s="21">
        <f>DATE(2011,12,1)</f>
        <v>40878</v>
      </c>
      <c r="C112" s="22">
        <v>626545</v>
      </c>
      <c r="D112" s="22">
        <v>666304</v>
      </c>
      <c r="E112" s="24">
        <f t="shared" si="35"/>
        <v>-0.059670961002785516</v>
      </c>
      <c r="F112" s="22">
        <f>+C112-332449</f>
        <v>294096</v>
      </c>
      <c r="G112" s="22">
        <f>+D112-372987</f>
        <v>293317</v>
      </c>
      <c r="H112" s="24">
        <f t="shared" si="36"/>
        <v>0.002655829699608274</v>
      </c>
      <c r="I112" s="25">
        <f t="shared" si="37"/>
        <v>32.3375881860042</v>
      </c>
      <c r="J112" s="25">
        <f t="shared" si="38"/>
        <v>68.89231472036343</v>
      </c>
      <c r="K112" s="22">
        <v>20260954.19</v>
      </c>
      <c r="L112" s="22">
        <v>20934947.04</v>
      </c>
      <c r="M112" s="26">
        <f t="shared" si="39"/>
        <v>-0.0321946288525217</v>
      </c>
      <c r="N112" s="11"/>
      <c r="R112" s="2"/>
    </row>
    <row r="113" spans="1:18" ht="15.75" customHeight="1">
      <c r="A113" s="20"/>
      <c r="B113" s="21">
        <f>DATE(2012,1,1)</f>
        <v>40909</v>
      </c>
      <c r="C113" s="22">
        <v>582175</v>
      </c>
      <c r="D113" s="22">
        <v>615765</v>
      </c>
      <c r="E113" s="24">
        <f t="shared" si="35"/>
        <v>-0.05455003126192622</v>
      </c>
      <c r="F113" s="22">
        <f>+C113-310302</f>
        <v>271873</v>
      </c>
      <c r="G113" s="22">
        <f>+D113-349478</f>
        <v>266287</v>
      </c>
      <c r="H113" s="24">
        <f t="shared" si="36"/>
        <v>0.02097736652559081</v>
      </c>
      <c r="I113" s="25">
        <f t="shared" si="37"/>
        <v>32.58497207884228</v>
      </c>
      <c r="J113" s="25">
        <f t="shared" si="38"/>
        <v>69.77580017140356</v>
      </c>
      <c r="K113" s="22">
        <v>18970156.12</v>
      </c>
      <c r="L113" s="22">
        <v>18909402.7</v>
      </c>
      <c r="M113" s="26">
        <f t="shared" si="39"/>
        <v>0.003212868273200496</v>
      </c>
      <c r="N113" s="11"/>
      <c r="R113" s="2"/>
    </row>
    <row r="114" spans="1:18" ht="15.75" customHeight="1">
      <c r="A114" s="20"/>
      <c r="B114" s="21">
        <f>DATE(2012,2,1)</f>
        <v>40940</v>
      </c>
      <c r="C114" s="22">
        <v>558723</v>
      </c>
      <c r="D114" s="22">
        <v>570362</v>
      </c>
      <c r="E114" s="24">
        <f t="shared" si="35"/>
        <v>-0.020406338430680866</v>
      </c>
      <c r="F114" s="22">
        <f>+C114-292043</f>
        <v>266680</v>
      </c>
      <c r="G114" s="22">
        <f>+D114-305460</f>
        <v>264902</v>
      </c>
      <c r="H114" s="24">
        <f t="shared" si="36"/>
        <v>0.006711916104823671</v>
      </c>
      <c r="I114" s="25">
        <f t="shared" si="37"/>
        <v>33.899442245978776</v>
      </c>
      <c r="J114" s="25">
        <f t="shared" si="38"/>
        <v>71.02294161541923</v>
      </c>
      <c r="K114" s="22">
        <v>18940398.07</v>
      </c>
      <c r="L114" s="22">
        <v>19485707.45</v>
      </c>
      <c r="M114" s="26">
        <f t="shared" si="39"/>
        <v>-0.027985095301222895</v>
      </c>
      <c r="N114" s="11"/>
      <c r="R114" s="2"/>
    </row>
    <row r="115" spans="1:18" ht="15.75" customHeight="1">
      <c r="A115" s="20"/>
      <c r="B115" s="21">
        <f>DATE(2012,3,1)</f>
        <v>40969</v>
      </c>
      <c r="C115" s="22">
        <v>595089</v>
      </c>
      <c r="D115" s="22">
        <v>638132</v>
      </c>
      <c r="E115" s="24">
        <f t="shared" si="35"/>
        <v>-0.06745156174584568</v>
      </c>
      <c r="F115" s="22">
        <f>+C115-312549</f>
        <v>282540</v>
      </c>
      <c r="G115" s="22">
        <f>+D115-343725</f>
        <v>294407</v>
      </c>
      <c r="H115" s="24">
        <f t="shared" si="36"/>
        <v>-0.04030814484709942</v>
      </c>
      <c r="I115" s="25">
        <f t="shared" si="37"/>
        <v>34.19016903353952</v>
      </c>
      <c r="J115" s="25">
        <f t="shared" si="38"/>
        <v>72.01172754300276</v>
      </c>
      <c r="K115" s="22">
        <v>20346193.5</v>
      </c>
      <c r="L115" s="22">
        <v>21559653.33</v>
      </c>
      <c r="M115" s="26">
        <f t="shared" si="39"/>
        <v>-0.05628382847471316</v>
      </c>
      <c r="N115" s="11"/>
      <c r="R115" s="2"/>
    </row>
    <row r="116" spans="1:18" ht="15.75" customHeight="1">
      <c r="A116" s="20"/>
      <c r="B116" s="21">
        <f>DATE(2012,4,1)</f>
        <v>41000</v>
      </c>
      <c r="C116" s="22">
        <v>522289</v>
      </c>
      <c r="D116" s="22">
        <v>598294</v>
      </c>
      <c r="E116" s="24">
        <f t="shared" si="35"/>
        <v>-0.12703620627985573</v>
      </c>
      <c r="F116" s="22">
        <f>C116-273295</f>
        <v>248994</v>
      </c>
      <c r="G116" s="22">
        <f>D116-318391</f>
        <v>279903</v>
      </c>
      <c r="H116" s="24">
        <f>(+F116-G116)/G116</f>
        <v>-0.11042754096955017</v>
      </c>
      <c r="I116" s="25">
        <f>K116/C116</f>
        <v>34.638887761373496</v>
      </c>
      <c r="J116" s="25">
        <f>K116/F116</f>
        <v>72.658417672715</v>
      </c>
      <c r="K116" s="22">
        <v>18091510.05</v>
      </c>
      <c r="L116" s="22">
        <v>20615474.12</v>
      </c>
      <c r="M116" s="26">
        <f t="shared" si="39"/>
        <v>-0.12243056139811934</v>
      </c>
      <c r="N116" s="11"/>
      <c r="R116" s="2"/>
    </row>
    <row r="117" spans="1:18" ht="15.75" customHeight="1">
      <c r="A117" s="20"/>
      <c r="B117" s="21">
        <f>DATE(2012,5,1)</f>
        <v>41030</v>
      </c>
      <c r="C117" s="22">
        <v>525253</v>
      </c>
      <c r="D117" s="22">
        <v>600574</v>
      </c>
      <c r="E117" s="24">
        <f t="shared" si="35"/>
        <v>-0.12541501963121945</v>
      </c>
      <c r="F117" s="22">
        <f>+C117-271201</f>
        <v>254052</v>
      </c>
      <c r="G117" s="22">
        <f>+D117-315215</f>
        <v>285359</v>
      </c>
      <c r="H117" s="24">
        <f>(+F117-G117)/G117</f>
        <v>-0.10971092553590389</v>
      </c>
      <c r="I117" s="25">
        <f>K117/C117</f>
        <v>33.76137649856355</v>
      </c>
      <c r="J117" s="25">
        <f>K117/F117</f>
        <v>69.80171102766363</v>
      </c>
      <c r="K117" s="22">
        <v>17733264.29</v>
      </c>
      <c r="L117" s="22">
        <v>20486981.26</v>
      </c>
      <c r="M117" s="26">
        <f t="shared" si="39"/>
        <v>-0.13441301746961243</v>
      </c>
      <c r="N117" s="11"/>
      <c r="R117" s="2"/>
    </row>
    <row r="118" spans="1:18" ht="15.75" customHeight="1" thickBot="1">
      <c r="A118" s="20"/>
      <c r="B118" s="47"/>
      <c r="C118" s="22"/>
      <c r="D118" s="22"/>
      <c r="E118" s="24"/>
      <c r="F118" s="22"/>
      <c r="G118" s="22"/>
      <c r="H118" s="24"/>
      <c r="I118" s="25"/>
      <c r="J118" s="25"/>
      <c r="K118" s="22"/>
      <c r="L118" s="22"/>
      <c r="M118" s="26"/>
      <c r="N118" s="11"/>
      <c r="R118" s="2"/>
    </row>
    <row r="119" spans="1:18" ht="17.25" thickBot="1" thickTop="1">
      <c r="A119" s="40" t="s">
        <v>14</v>
      </c>
      <c r="B119" s="41"/>
      <c r="C119" s="42">
        <f>SUM(C107:C118)</f>
        <v>6373448</v>
      </c>
      <c r="D119" s="42">
        <f>SUM(D107:D118)</f>
        <v>6997761</v>
      </c>
      <c r="E119" s="43">
        <f>(+C119-D119)/D119</f>
        <v>-0.0892161078379213</v>
      </c>
      <c r="F119" s="42">
        <f>SUM(F107:F118)</f>
        <v>3025983</v>
      </c>
      <c r="G119" s="42">
        <f>SUM(G107:G118)</f>
        <v>3173526</v>
      </c>
      <c r="H119" s="44">
        <f>(+F119-G119)/G119</f>
        <v>-0.04649182013949153</v>
      </c>
      <c r="I119" s="45">
        <f>K119/C119</f>
        <v>33.23261346448579</v>
      </c>
      <c r="J119" s="45">
        <f>K119/F119</f>
        <v>69.99587698278543</v>
      </c>
      <c r="K119" s="42">
        <f>SUM(K107:K118)</f>
        <v>211806333.82</v>
      </c>
      <c r="L119" s="42">
        <f>SUM(L107:L118)</f>
        <v>221989011.97999996</v>
      </c>
      <c r="M119" s="46">
        <f>(+K119-L119)/L119</f>
        <v>-0.04587019001155504</v>
      </c>
      <c r="N119" s="11"/>
      <c r="R119" s="2"/>
    </row>
    <row r="120" spans="1:18" ht="15.75" customHeight="1" thickTop="1">
      <c r="A120" s="56"/>
      <c r="B120" s="57"/>
      <c r="C120" s="57"/>
      <c r="D120" s="57"/>
      <c r="E120" s="58"/>
      <c r="F120" s="57"/>
      <c r="G120" s="57"/>
      <c r="H120" s="58"/>
      <c r="I120" s="57"/>
      <c r="J120" s="57"/>
      <c r="K120" s="202"/>
      <c r="L120" s="202"/>
      <c r="M120" s="59"/>
      <c r="N120" s="11"/>
      <c r="R120" s="2"/>
    </row>
    <row r="121" spans="1:18" ht="15.75" customHeight="1">
      <c r="A121" s="20" t="s">
        <v>63</v>
      </c>
      <c r="B121" s="21">
        <f>DATE(2011,7,1)</f>
        <v>40725</v>
      </c>
      <c r="C121" s="22">
        <v>574356</v>
      </c>
      <c r="D121" s="22">
        <v>556471</v>
      </c>
      <c r="E121" s="24">
        <f aca="true" t="shared" si="40" ref="E121:E131">(+C121-D121)/D121</f>
        <v>0.032140039642676796</v>
      </c>
      <c r="F121" s="22">
        <f>+C121-291331</f>
        <v>283025</v>
      </c>
      <c r="G121" s="22">
        <f>+D121-270261</f>
        <v>286210</v>
      </c>
      <c r="H121" s="24">
        <f aca="true" t="shared" si="41" ref="H121:H129">(+F121-G121)/G121</f>
        <v>-0.011128192585863526</v>
      </c>
      <c r="I121" s="25">
        <f aca="true" t="shared" si="42" ref="I121:I129">K121/C121</f>
        <v>30.17729011275237</v>
      </c>
      <c r="J121" s="25">
        <f aca="true" t="shared" si="43" ref="J121:J129">K121/F121</f>
        <v>61.24020012366399</v>
      </c>
      <c r="K121" s="22">
        <v>17332507.64</v>
      </c>
      <c r="L121" s="22">
        <v>14943820.36</v>
      </c>
      <c r="M121" s="26">
        <f aca="true" t="shared" si="44" ref="M121:M131">(+K121-L121)/L121</f>
        <v>0.15984448571088158</v>
      </c>
      <c r="N121" s="11"/>
      <c r="R121" s="2"/>
    </row>
    <row r="122" spans="1:18" ht="15.75" customHeight="1">
      <c r="A122" s="20"/>
      <c r="B122" s="21">
        <f>DATE(2011,8,1)</f>
        <v>40756</v>
      </c>
      <c r="C122" s="22">
        <v>536736</v>
      </c>
      <c r="D122" s="22">
        <v>560447</v>
      </c>
      <c r="E122" s="24">
        <f t="shared" si="40"/>
        <v>-0.04230730113641433</v>
      </c>
      <c r="F122" s="22">
        <f>+C122-266700</f>
        <v>270036</v>
      </c>
      <c r="G122" s="22">
        <f>+D122-267200</f>
        <v>293247</v>
      </c>
      <c r="H122" s="24">
        <f t="shared" si="41"/>
        <v>-0.07915170487677624</v>
      </c>
      <c r="I122" s="25">
        <f t="shared" si="42"/>
        <v>30.834255034132237</v>
      </c>
      <c r="J122" s="25">
        <f t="shared" si="43"/>
        <v>61.287586506984255</v>
      </c>
      <c r="K122" s="22">
        <v>16549854.71</v>
      </c>
      <c r="L122" s="22">
        <v>14838983.69</v>
      </c>
      <c r="M122" s="26">
        <f t="shared" si="44"/>
        <v>0.1152957005507701</v>
      </c>
      <c r="N122" s="11"/>
      <c r="R122" s="2"/>
    </row>
    <row r="123" spans="1:18" ht="15.75" customHeight="1">
      <c r="A123" s="20"/>
      <c r="B123" s="21">
        <f>DATE(2011,9,1)</f>
        <v>40787</v>
      </c>
      <c r="C123" s="22">
        <v>527833</v>
      </c>
      <c r="D123" s="22">
        <v>527675</v>
      </c>
      <c r="E123" s="24">
        <f t="shared" si="40"/>
        <v>0.0002994267304685649</v>
      </c>
      <c r="F123" s="22">
        <f>+C123-269052</f>
        <v>258781</v>
      </c>
      <c r="G123" s="22">
        <f>+D123-255170</f>
        <v>272505</v>
      </c>
      <c r="H123" s="24">
        <f t="shared" si="41"/>
        <v>-0.05036237867195097</v>
      </c>
      <c r="I123" s="25">
        <f t="shared" si="42"/>
        <v>30.310123467081446</v>
      </c>
      <c r="J123" s="25">
        <f t="shared" si="43"/>
        <v>61.82325363917753</v>
      </c>
      <c r="K123" s="22">
        <v>15998683.4</v>
      </c>
      <c r="L123" s="22">
        <v>14227411.73</v>
      </c>
      <c r="M123" s="26">
        <f t="shared" si="44"/>
        <v>0.12449711188614064</v>
      </c>
      <c r="N123" s="11"/>
      <c r="R123" s="2"/>
    </row>
    <row r="124" spans="1:18" ht="15.75" customHeight="1">
      <c r="A124" s="20"/>
      <c r="B124" s="21">
        <f>DATE(2011,10,1)</f>
        <v>40817</v>
      </c>
      <c r="C124" s="22">
        <v>517403</v>
      </c>
      <c r="D124" s="22">
        <v>522481</v>
      </c>
      <c r="E124" s="24">
        <f t="shared" si="40"/>
        <v>-0.009719013705761548</v>
      </c>
      <c r="F124" s="22">
        <f>+C124-261510</f>
        <v>255893</v>
      </c>
      <c r="G124" s="22">
        <f>+D124-255026</f>
        <v>267455</v>
      </c>
      <c r="H124" s="24">
        <f t="shared" si="41"/>
        <v>-0.04322970219289226</v>
      </c>
      <c r="I124" s="25">
        <f t="shared" si="42"/>
        <v>28.363979161311395</v>
      </c>
      <c r="J124" s="25">
        <f t="shared" si="43"/>
        <v>57.350564142043744</v>
      </c>
      <c r="K124" s="22">
        <v>14675607.91</v>
      </c>
      <c r="L124" s="22">
        <v>14388198.39</v>
      </c>
      <c r="M124" s="26">
        <f t="shared" si="44"/>
        <v>0.019975365379987616</v>
      </c>
      <c r="N124" s="11"/>
      <c r="R124" s="2"/>
    </row>
    <row r="125" spans="1:18" ht="15.75" customHeight="1">
      <c r="A125" s="20"/>
      <c r="B125" s="21">
        <f>DATE(2011,11,1)</f>
        <v>40848</v>
      </c>
      <c r="C125" s="22">
        <v>506862</v>
      </c>
      <c r="D125" s="22">
        <v>471163</v>
      </c>
      <c r="E125" s="24">
        <f t="shared" si="40"/>
        <v>0.07576783406167292</v>
      </c>
      <c r="F125" s="22">
        <f>+C125-251310</f>
        <v>255552</v>
      </c>
      <c r="G125" s="22">
        <f>+D125-234648</f>
        <v>236515</v>
      </c>
      <c r="H125" s="24">
        <f t="shared" si="41"/>
        <v>0.08048960953850708</v>
      </c>
      <c r="I125" s="25">
        <f t="shared" si="42"/>
        <v>31.919493688617415</v>
      </c>
      <c r="J125" s="25">
        <f t="shared" si="43"/>
        <v>63.30914416635362</v>
      </c>
      <c r="K125" s="22">
        <v>16178778.41</v>
      </c>
      <c r="L125" s="22">
        <v>13507178.06</v>
      </c>
      <c r="M125" s="26">
        <f t="shared" si="44"/>
        <v>0.19779115505344863</v>
      </c>
      <c r="N125" s="11"/>
      <c r="R125" s="2"/>
    </row>
    <row r="126" spans="1:18" ht="15.75" customHeight="1">
      <c r="A126" s="20"/>
      <c r="B126" s="21">
        <f>DATE(2011,12,1)</f>
        <v>40878</v>
      </c>
      <c r="C126" s="22">
        <v>564403</v>
      </c>
      <c r="D126" s="22">
        <v>489355</v>
      </c>
      <c r="E126" s="24">
        <f t="shared" si="40"/>
        <v>0.15336105690143148</v>
      </c>
      <c r="F126" s="22">
        <f>+C126-297438</f>
        <v>266965</v>
      </c>
      <c r="G126" s="22">
        <f>+D126-243637</f>
        <v>245718</v>
      </c>
      <c r="H126" s="24">
        <f t="shared" si="41"/>
        <v>0.08646904174704335</v>
      </c>
      <c r="I126" s="25">
        <f t="shared" si="42"/>
        <v>30.241085819884017</v>
      </c>
      <c r="J126" s="25">
        <f t="shared" si="43"/>
        <v>63.93407210683048</v>
      </c>
      <c r="K126" s="22">
        <v>17068159.56</v>
      </c>
      <c r="L126" s="22">
        <v>13715830.28</v>
      </c>
      <c r="M126" s="26">
        <f t="shared" si="44"/>
        <v>0.24441314973751627</v>
      </c>
      <c r="N126" s="11"/>
      <c r="R126" s="2"/>
    </row>
    <row r="127" spans="1:18" ht="15.75" customHeight="1">
      <c r="A127" s="20"/>
      <c r="B127" s="21">
        <f>DATE(2012,1,1)</f>
        <v>40909</v>
      </c>
      <c r="C127" s="22">
        <v>500286</v>
      </c>
      <c r="D127" s="22">
        <v>508008</v>
      </c>
      <c r="E127" s="24">
        <f t="shared" si="40"/>
        <v>-0.015200548022865782</v>
      </c>
      <c r="F127" s="22">
        <f>+C127-259665</f>
        <v>240621</v>
      </c>
      <c r="G127" s="22">
        <f>+D127-256579</f>
        <v>251429</v>
      </c>
      <c r="H127" s="24">
        <f t="shared" si="41"/>
        <v>-0.042986290364277785</v>
      </c>
      <c r="I127" s="25">
        <f t="shared" si="42"/>
        <v>31.81082940558001</v>
      </c>
      <c r="J127" s="25">
        <f t="shared" si="43"/>
        <v>66.13933364087092</v>
      </c>
      <c r="K127" s="22">
        <v>15914512.6</v>
      </c>
      <c r="L127" s="22">
        <v>14434552.56</v>
      </c>
      <c r="M127" s="26">
        <f t="shared" si="44"/>
        <v>0.10252898618424505</v>
      </c>
      <c r="N127" s="11"/>
      <c r="R127" s="2"/>
    </row>
    <row r="128" spans="1:18" ht="15.75" customHeight="1">
      <c r="A128" s="20"/>
      <c r="B128" s="21">
        <f>DATE(2012,2,1)</f>
        <v>40940</v>
      </c>
      <c r="C128" s="22">
        <v>545025</v>
      </c>
      <c r="D128" s="22">
        <v>519034</v>
      </c>
      <c r="E128" s="24">
        <f t="shared" si="40"/>
        <v>0.05007571758304851</v>
      </c>
      <c r="F128" s="22">
        <f>+C128-281045</f>
        <v>263980</v>
      </c>
      <c r="G128" s="22">
        <f>+D128-263340</f>
        <v>255694</v>
      </c>
      <c r="H128" s="24">
        <f t="shared" si="41"/>
        <v>0.032405922704482705</v>
      </c>
      <c r="I128" s="25">
        <f t="shared" si="42"/>
        <v>32.126470345397</v>
      </c>
      <c r="J128" s="25">
        <f t="shared" si="43"/>
        <v>66.32975793620729</v>
      </c>
      <c r="K128" s="22">
        <v>17509729.5</v>
      </c>
      <c r="L128" s="22">
        <v>14705120.7</v>
      </c>
      <c r="M128" s="26">
        <f t="shared" si="44"/>
        <v>0.19072327641622153</v>
      </c>
      <c r="N128" s="11"/>
      <c r="R128" s="2"/>
    </row>
    <row r="129" spans="1:18" ht="15.75" customHeight="1">
      <c r="A129" s="20"/>
      <c r="B129" s="21">
        <f>DATE(2012,3,1)</f>
        <v>40969</v>
      </c>
      <c r="C129" s="22">
        <v>599617</v>
      </c>
      <c r="D129" s="22">
        <v>585645</v>
      </c>
      <c r="E129" s="24">
        <f t="shared" si="40"/>
        <v>0.023857456308856047</v>
      </c>
      <c r="F129" s="22">
        <f>+C129-306049</f>
        <v>293568</v>
      </c>
      <c r="G129" s="22">
        <f>+D129-294998</f>
        <v>290647</v>
      </c>
      <c r="H129" s="24">
        <f t="shared" si="41"/>
        <v>0.010049991914590552</v>
      </c>
      <c r="I129" s="25">
        <f t="shared" si="42"/>
        <v>32.1920101498123</v>
      </c>
      <c r="J129" s="25">
        <f t="shared" si="43"/>
        <v>65.75265883883802</v>
      </c>
      <c r="K129" s="22">
        <v>19302876.55</v>
      </c>
      <c r="L129" s="22">
        <v>17128599.3</v>
      </c>
      <c r="M129" s="26">
        <f t="shared" si="44"/>
        <v>0.12693841521530602</v>
      </c>
      <c r="N129" s="11"/>
      <c r="R129" s="2"/>
    </row>
    <row r="130" spans="1:18" ht="15.75" customHeight="1">
      <c r="A130" s="20"/>
      <c r="B130" s="21">
        <f>DATE(2012,4,1)</f>
        <v>41000</v>
      </c>
      <c r="C130" s="22">
        <v>510578</v>
      </c>
      <c r="D130" s="22">
        <v>541247</v>
      </c>
      <c r="E130" s="24">
        <f t="shared" si="40"/>
        <v>-0.05666359351645367</v>
      </c>
      <c r="F130" s="22">
        <f>C130-259820</f>
        <v>250758</v>
      </c>
      <c r="G130" s="22">
        <f>D130-272781</f>
        <v>268466</v>
      </c>
      <c r="H130" s="24">
        <f>(+F130-G130)/G130</f>
        <v>-0.06595993533631819</v>
      </c>
      <c r="I130" s="25">
        <f>K130/C130</f>
        <v>33.52893669527477</v>
      </c>
      <c r="J130" s="25">
        <f>K130/F130</f>
        <v>68.26955646479874</v>
      </c>
      <c r="K130" s="22">
        <v>17119137.44</v>
      </c>
      <c r="L130" s="22">
        <v>16286838.16</v>
      </c>
      <c r="M130" s="26">
        <f t="shared" si="44"/>
        <v>0.05110256956099091</v>
      </c>
      <c r="N130" s="11"/>
      <c r="R130" s="2"/>
    </row>
    <row r="131" spans="1:18" ht="15.75" customHeight="1">
      <c r="A131" s="20"/>
      <c r="B131" s="21">
        <f>DATE(2012,5,1)</f>
        <v>41030</v>
      </c>
      <c r="C131" s="22">
        <v>537726</v>
      </c>
      <c r="D131" s="22">
        <v>524734</v>
      </c>
      <c r="E131" s="24">
        <f t="shared" si="40"/>
        <v>0.02475921133374243</v>
      </c>
      <c r="F131" s="22">
        <f>+C131-269405</f>
        <v>268321</v>
      </c>
      <c r="G131" s="22">
        <f>+D131-271001</f>
        <v>253733</v>
      </c>
      <c r="H131" s="24">
        <f>(+F131-G131)/G131</f>
        <v>0.05749350695416047</v>
      </c>
      <c r="I131" s="25">
        <f>K131/C131</f>
        <v>33.80656365881509</v>
      </c>
      <c r="J131" s="25">
        <f>K131/F131</f>
        <v>67.74970371308991</v>
      </c>
      <c r="K131" s="22">
        <v>18178668.25</v>
      </c>
      <c r="L131" s="22">
        <v>16713643.52</v>
      </c>
      <c r="M131" s="26">
        <f t="shared" si="44"/>
        <v>0.08765442006986161</v>
      </c>
      <c r="N131" s="11"/>
      <c r="R131" s="2"/>
    </row>
    <row r="132" spans="1:18" ht="15.75" customHeight="1" thickBot="1">
      <c r="A132" s="20"/>
      <c r="B132" s="47"/>
      <c r="C132" s="22"/>
      <c r="D132" s="22"/>
      <c r="E132" s="24"/>
      <c r="F132" s="22"/>
      <c r="G132" s="22"/>
      <c r="H132" s="24"/>
      <c r="I132" s="25"/>
      <c r="J132" s="25"/>
      <c r="K132" s="22"/>
      <c r="L132" s="22"/>
      <c r="M132" s="26"/>
      <c r="N132" s="11"/>
      <c r="R132" s="2"/>
    </row>
    <row r="133" spans="1:18" ht="17.25" thickBot="1" thickTop="1">
      <c r="A133" s="40" t="s">
        <v>14</v>
      </c>
      <c r="B133" s="41"/>
      <c r="C133" s="42">
        <f>SUM(C121:C132)</f>
        <v>5920825</v>
      </c>
      <c r="D133" s="42">
        <f>SUM(D121:D132)</f>
        <v>5806260</v>
      </c>
      <c r="E133" s="43">
        <f>(+C133-D133)/D133</f>
        <v>0.019731290021459597</v>
      </c>
      <c r="F133" s="42">
        <f>SUM(F121:F132)</f>
        <v>2907500</v>
      </c>
      <c r="G133" s="42">
        <f>SUM(G121:G132)</f>
        <v>2921619</v>
      </c>
      <c r="H133" s="44">
        <f>(+F133-G133)/G133</f>
        <v>-0.0048325945306352406</v>
      </c>
      <c r="I133" s="45">
        <f>K133/C133</f>
        <v>31.385578187161418</v>
      </c>
      <c r="J133" s="45">
        <f>K133/F133</f>
        <v>63.9135050627687</v>
      </c>
      <c r="K133" s="42">
        <f>SUM(K121:K132)</f>
        <v>185828515.97</v>
      </c>
      <c r="L133" s="42">
        <f>SUM(L121:L132)</f>
        <v>164890176.75000003</v>
      </c>
      <c r="M133" s="46">
        <f>(+K133-L133)/L133</f>
        <v>0.12698354524627536</v>
      </c>
      <c r="N133" s="11"/>
      <c r="R133" s="2"/>
    </row>
    <row r="134" spans="1:18" ht="15" customHeight="1" thickTop="1">
      <c r="A134" s="60"/>
      <c r="B134" s="61"/>
      <c r="C134" s="61"/>
      <c r="D134" s="61"/>
      <c r="E134" s="62"/>
      <c r="F134" s="61"/>
      <c r="G134" s="61"/>
      <c r="H134" s="62"/>
      <c r="I134" s="61"/>
      <c r="J134" s="61"/>
      <c r="K134" s="203"/>
      <c r="L134" s="203"/>
      <c r="M134" s="63"/>
      <c r="N134" s="11"/>
      <c r="R134" s="2"/>
    </row>
    <row r="135" spans="1:18" ht="15" customHeight="1">
      <c r="A135" s="20" t="s">
        <v>65</v>
      </c>
      <c r="B135" s="21">
        <f>DATE(2011,7,1)</f>
        <v>40725</v>
      </c>
      <c r="C135" s="22">
        <v>103897</v>
      </c>
      <c r="D135" s="22">
        <v>110506</v>
      </c>
      <c r="E135" s="24">
        <f aca="true" t="shared" si="45" ref="E135:E145">(+C135-D135)/D135</f>
        <v>-0.05980670732810888</v>
      </c>
      <c r="F135" s="22">
        <f>+C135-53295</f>
        <v>50602</v>
      </c>
      <c r="G135" s="22">
        <f>+D135-57352</f>
        <v>53154</v>
      </c>
      <c r="H135" s="24">
        <f aca="true" t="shared" si="46" ref="H135:H143">(+F135-G135)/G135</f>
        <v>-0.0480114384618279</v>
      </c>
      <c r="I135" s="25">
        <f aca="true" t="shared" si="47" ref="I135:I143">K135/C135</f>
        <v>32.450921104555476</v>
      </c>
      <c r="J135" s="25">
        <f aca="true" t="shared" si="48" ref="J135:J143">K135/F135</f>
        <v>66.62885557883088</v>
      </c>
      <c r="K135" s="22">
        <v>3371553.35</v>
      </c>
      <c r="L135" s="22">
        <v>3333810.36</v>
      </c>
      <c r="M135" s="26">
        <f aca="true" t="shared" si="49" ref="M135:M145">(+K135-L135)/L135</f>
        <v>0.011321276834714806</v>
      </c>
      <c r="N135" s="11"/>
      <c r="R135" s="2"/>
    </row>
    <row r="136" spans="1:18" ht="15" customHeight="1">
      <c r="A136" s="20"/>
      <c r="B136" s="21">
        <f>DATE(2011,8,1)</f>
        <v>40756</v>
      </c>
      <c r="C136" s="22">
        <v>92091</v>
      </c>
      <c r="D136" s="22">
        <v>100359</v>
      </c>
      <c r="E136" s="24">
        <f t="shared" si="45"/>
        <v>-0.08238424057633097</v>
      </c>
      <c r="F136" s="22">
        <f>+C136-47123</f>
        <v>44968</v>
      </c>
      <c r="G136" s="22">
        <f>+D136-51839</f>
        <v>48520</v>
      </c>
      <c r="H136" s="24">
        <f t="shared" si="46"/>
        <v>-0.07320692497938994</v>
      </c>
      <c r="I136" s="25">
        <f t="shared" si="47"/>
        <v>32.5866387594879</v>
      </c>
      <c r="J136" s="25">
        <f t="shared" si="48"/>
        <v>66.73492594734033</v>
      </c>
      <c r="K136" s="22">
        <v>3000936.15</v>
      </c>
      <c r="L136" s="22">
        <v>3020020.08</v>
      </c>
      <c r="M136" s="26">
        <f t="shared" si="49"/>
        <v>-0.006319140103200958</v>
      </c>
      <c r="N136" s="11"/>
      <c r="R136" s="2"/>
    </row>
    <row r="137" spans="1:18" ht="15" customHeight="1">
      <c r="A137" s="20"/>
      <c r="B137" s="21">
        <f>DATE(2011,9,1)</f>
        <v>40787</v>
      </c>
      <c r="C137" s="22">
        <v>94220</v>
      </c>
      <c r="D137" s="22">
        <v>98495</v>
      </c>
      <c r="E137" s="24">
        <f t="shared" si="45"/>
        <v>-0.04340321843748414</v>
      </c>
      <c r="F137" s="22">
        <f>+C137-48268</f>
        <v>45952</v>
      </c>
      <c r="G137" s="22">
        <f>+D137-51670</f>
        <v>46825</v>
      </c>
      <c r="H137" s="24">
        <f t="shared" si="46"/>
        <v>-0.018643886812600107</v>
      </c>
      <c r="I137" s="25">
        <f t="shared" si="47"/>
        <v>33.32860677138612</v>
      </c>
      <c r="J137" s="25">
        <f t="shared" si="48"/>
        <v>68.33698924965181</v>
      </c>
      <c r="K137" s="22">
        <v>3140221.33</v>
      </c>
      <c r="L137" s="22">
        <v>3131515.41</v>
      </c>
      <c r="M137" s="26">
        <f t="shared" si="49"/>
        <v>0.00278009808675983</v>
      </c>
      <c r="N137" s="11"/>
      <c r="R137" s="2"/>
    </row>
    <row r="138" spans="1:18" ht="15" customHeight="1">
      <c r="A138" s="20"/>
      <c r="B138" s="21">
        <f>DATE(2011,10,1)</f>
        <v>40817</v>
      </c>
      <c r="C138" s="22">
        <v>91913</v>
      </c>
      <c r="D138" s="22">
        <v>102552</v>
      </c>
      <c r="E138" s="24">
        <f t="shared" si="45"/>
        <v>-0.10374249161401046</v>
      </c>
      <c r="F138" s="22">
        <f>+C138-47505</f>
        <v>44408</v>
      </c>
      <c r="G138" s="22">
        <f>+D138-53414</f>
        <v>49138</v>
      </c>
      <c r="H138" s="24">
        <f t="shared" si="46"/>
        <v>-0.0962595140217347</v>
      </c>
      <c r="I138" s="25">
        <f t="shared" si="47"/>
        <v>33.47610185719104</v>
      </c>
      <c r="J138" s="25">
        <f t="shared" si="48"/>
        <v>69.28681656458296</v>
      </c>
      <c r="K138" s="22">
        <v>3076888.95</v>
      </c>
      <c r="L138" s="22">
        <v>3231568.11</v>
      </c>
      <c r="M138" s="26">
        <f t="shared" si="49"/>
        <v>-0.04786504716436247</v>
      </c>
      <c r="N138" s="11"/>
      <c r="R138" s="2"/>
    </row>
    <row r="139" spans="1:18" ht="15" customHeight="1">
      <c r="A139" s="20"/>
      <c r="B139" s="21">
        <f>DATE(2011,11,1)</f>
        <v>40848</v>
      </c>
      <c r="C139" s="22">
        <v>88955</v>
      </c>
      <c r="D139" s="22">
        <v>91663</v>
      </c>
      <c r="E139" s="24">
        <f t="shared" si="45"/>
        <v>-0.029542999901814256</v>
      </c>
      <c r="F139" s="22">
        <f>+C139-46667</f>
        <v>42288</v>
      </c>
      <c r="G139" s="22">
        <f>+D139-48241</f>
        <v>43422</v>
      </c>
      <c r="H139" s="24">
        <f t="shared" si="46"/>
        <v>-0.02611579383722537</v>
      </c>
      <c r="I139" s="25">
        <f t="shared" si="47"/>
        <v>32.91835141363611</v>
      </c>
      <c r="J139" s="25">
        <f t="shared" si="48"/>
        <v>69.2454585225123</v>
      </c>
      <c r="K139" s="22">
        <v>2928251.95</v>
      </c>
      <c r="L139" s="22">
        <v>2964635.95</v>
      </c>
      <c r="M139" s="26">
        <f t="shared" si="49"/>
        <v>-0.012272670443735258</v>
      </c>
      <c r="N139" s="11"/>
      <c r="R139" s="2"/>
    </row>
    <row r="140" spans="1:18" ht="15" customHeight="1">
      <c r="A140" s="20"/>
      <c r="B140" s="21">
        <f>DATE(2011,12,1)</f>
        <v>40878</v>
      </c>
      <c r="C140" s="22">
        <v>100798</v>
      </c>
      <c r="D140" s="22">
        <v>96087</v>
      </c>
      <c r="E140" s="24">
        <f t="shared" si="45"/>
        <v>0.049028484602495655</v>
      </c>
      <c r="F140" s="22">
        <f>+C140-53333</f>
        <v>47465</v>
      </c>
      <c r="G140" s="22">
        <f>+D140-51007</f>
        <v>45080</v>
      </c>
      <c r="H140" s="24">
        <f t="shared" si="46"/>
        <v>0.05290594498669033</v>
      </c>
      <c r="I140" s="25">
        <f t="shared" si="47"/>
        <v>34.056200222226636</v>
      </c>
      <c r="J140" s="25">
        <f t="shared" si="48"/>
        <v>72.32269819867271</v>
      </c>
      <c r="K140" s="22">
        <v>3432796.87</v>
      </c>
      <c r="L140" s="22">
        <v>3136237.25</v>
      </c>
      <c r="M140" s="26">
        <f t="shared" si="49"/>
        <v>0.09455905161511621</v>
      </c>
      <c r="N140" s="11"/>
      <c r="R140" s="2"/>
    </row>
    <row r="141" spans="1:18" ht="15" customHeight="1">
      <c r="A141" s="20"/>
      <c r="B141" s="21">
        <f>DATE(2012,1,1)</f>
        <v>40909</v>
      </c>
      <c r="C141" s="22">
        <v>92703</v>
      </c>
      <c r="D141" s="22">
        <v>91223</v>
      </c>
      <c r="E141" s="24">
        <f t="shared" si="45"/>
        <v>0.016223978601887682</v>
      </c>
      <c r="F141" s="22">
        <f>+C141-49120</f>
        <v>43583</v>
      </c>
      <c r="G141" s="22">
        <f>+D141-48418</f>
        <v>42805</v>
      </c>
      <c r="H141" s="24">
        <f t="shared" si="46"/>
        <v>0.01817544679359888</v>
      </c>
      <c r="I141" s="25">
        <f t="shared" si="47"/>
        <v>33.2269918988598</v>
      </c>
      <c r="J141" s="25">
        <f t="shared" si="48"/>
        <v>70.6753052795815</v>
      </c>
      <c r="K141" s="22">
        <v>3080241.83</v>
      </c>
      <c r="L141" s="22">
        <v>2922223.25</v>
      </c>
      <c r="M141" s="26">
        <f t="shared" si="49"/>
        <v>0.05407478022084729</v>
      </c>
      <c r="N141" s="11"/>
      <c r="R141" s="2"/>
    </row>
    <row r="142" spans="1:18" ht="15" customHeight="1">
      <c r="A142" s="20"/>
      <c r="B142" s="21">
        <f>DATE(2012,2,1)</f>
        <v>40940</v>
      </c>
      <c r="C142" s="22">
        <v>103604</v>
      </c>
      <c r="D142" s="22">
        <v>93185</v>
      </c>
      <c r="E142" s="24">
        <f t="shared" si="45"/>
        <v>0.11180984063958792</v>
      </c>
      <c r="F142" s="22">
        <f>+C142-55047</f>
        <v>48557</v>
      </c>
      <c r="G142" s="22">
        <f>+D142-49784</f>
        <v>43401</v>
      </c>
      <c r="H142" s="24">
        <f t="shared" si="46"/>
        <v>0.11879910601138223</v>
      </c>
      <c r="I142" s="25">
        <f t="shared" si="47"/>
        <v>34.06761891432763</v>
      </c>
      <c r="J142" s="25">
        <f t="shared" si="48"/>
        <v>72.68862553287889</v>
      </c>
      <c r="K142" s="22">
        <v>3529541.59</v>
      </c>
      <c r="L142" s="22">
        <v>3140637.41</v>
      </c>
      <c r="M142" s="26">
        <f t="shared" si="49"/>
        <v>0.12382969736070223</v>
      </c>
      <c r="N142" s="11"/>
      <c r="R142" s="2"/>
    </row>
    <row r="143" spans="1:18" ht="15" customHeight="1">
      <c r="A143" s="20"/>
      <c r="B143" s="21">
        <f>DATE(2012,3,1)</f>
        <v>40969</v>
      </c>
      <c r="C143" s="22">
        <v>104518</v>
      </c>
      <c r="D143" s="22">
        <v>106301</v>
      </c>
      <c r="E143" s="24">
        <f t="shared" si="45"/>
        <v>-0.01677312537041044</v>
      </c>
      <c r="F143" s="22">
        <f>+C143-54802</f>
        <v>49716</v>
      </c>
      <c r="G143" s="22">
        <f>+D143-56121</f>
        <v>50180</v>
      </c>
      <c r="H143" s="24">
        <f t="shared" si="46"/>
        <v>-0.009246711837385412</v>
      </c>
      <c r="I143" s="25">
        <f t="shared" si="47"/>
        <v>34.61363286706596</v>
      </c>
      <c r="J143" s="25">
        <f t="shared" si="48"/>
        <v>72.7682774157213</v>
      </c>
      <c r="K143" s="22">
        <v>3617747.68</v>
      </c>
      <c r="L143" s="22">
        <v>3629708.57</v>
      </c>
      <c r="M143" s="26">
        <f t="shared" si="49"/>
        <v>-0.00329527557635286</v>
      </c>
      <c r="N143" s="11"/>
      <c r="R143" s="2"/>
    </row>
    <row r="144" spans="1:18" ht="15" customHeight="1">
      <c r="A144" s="20"/>
      <c r="B144" s="21">
        <f>DATE(2012,4,1)</f>
        <v>41000</v>
      </c>
      <c r="C144" s="22">
        <v>96729</v>
      </c>
      <c r="D144" s="22">
        <v>94986</v>
      </c>
      <c r="E144" s="24">
        <f t="shared" si="45"/>
        <v>0.018350072642284127</v>
      </c>
      <c r="F144" s="22">
        <f>C144-50480</f>
        <v>46249</v>
      </c>
      <c r="G144" s="22">
        <f>D144-49506</f>
        <v>45480</v>
      </c>
      <c r="H144" s="24">
        <f>(+F144-G144)/G144</f>
        <v>0.016908531222515392</v>
      </c>
      <c r="I144" s="25">
        <f>K144/C144</f>
        <v>34.404821408264326</v>
      </c>
      <c r="J144" s="25">
        <f>K144/F144</f>
        <v>71.95710112651085</v>
      </c>
      <c r="K144" s="22">
        <v>3327943.97</v>
      </c>
      <c r="L144" s="22">
        <v>3335115.64</v>
      </c>
      <c r="M144" s="26">
        <f t="shared" si="49"/>
        <v>-0.002150351224403099</v>
      </c>
      <c r="N144" s="11"/>
      <c r="R144" s="2"/>
    </row>
    <row r="145" spans="1:18" ht="15" customHeight="1">
      <c r="A145" s="20"/>
      <c r="B145" s="21">
        <f>DATE(2012,5,1)</f>
        <v>41030</v>
      </c>
      <c r="C145" s="22">
        <v>96940</v>
      </c>
      <c r="D145" s="22">
        <v>96873</v>
      </c>
      <c r="E145" s="24">
        <f t="shared" si="45"/>
        <v>0.0006916271819805312</v>
      </c>
      <c r="F145" s="22">
        <f>+C145-50233</f>
        <v>46707</v>
      </c>
      <c r="G145" s="22">
        <f>+D145-49966</f>
        <v>46907</v>
      </c>
      <c r="H145" s="24">
        <f>(+F145-G145)/G145</f>
        <v>-0.004263755942609845</v>
      </c>
      <c r="I145" s="25">
        <f>K145/C145</f>
        <v>34.85165267175572</v>
      </c>
      <c r="J145" s="25">
        <f>K145/F145</f>
        <v>72.33432269253002</v>
      </c>
      <c r="K145" s="22">
        <v>3378519.21</v>
      </c>
      <c r="L145" s="22">
        <v>3281171.28</v>
      </c>
      <c r="M145" s="26">
        <f t="shared" si="49"/>
        <v>0.02966865234782872</v>
      </c>
      <c r="N145" s="11"/>
      <c r="R145" s="2"/>
    </row>
    <row r="146" spans="1:18" ht="15.75" thickBot="1">
      <c r="A146" s="39"/>
      <c r="B146" s="21"/>
      <c r="C146" s="22"/>
      <c r="D146" s="22"/>
      <c r="E146" s="24"/>
      <c r="F146" s="22"/>
      <c r="G146" s="22"/>
      <c r="H146" s="24"/>
      <c r="I146" s="25"/>
      <c r="J146" s="25"/>
      <c r="K146" s="22"/>
      <c r="L146" s="22"/>
      <c r="M146" s="26"/>
      <c r="N146" s="11"/>
      <c r="R146" s="2"/>
    </row>
    <row r="147" spans="1:18" ht="17.25" thickBot="1" thickTop="1">
      <c r="A147" s="64" t="s">
        <v>14</v>
      </c>
      <c r="B147" s="54"/>
      <c r="C147" s="50">
        <f>SUM(C135:C146)</f>
        <v>1066368</v>
      </c>
      <c r="D147" s="50">
        <f>SUM(D135:D146)</f>
        <v>1082230</v>
      </c>
      <c r="E147" s="43">
        <f>(+C147-D147)/D147</f>
        <v>-0.014656773513948052</v>
      </c>
      <c r="F147" s="50">
        <f>SUM(F135:F146)</f>
        <v>510495</v>
      </c>
      <c r="G147" s="50">
        <f>SUM(G135:G146)</f>
        <v>514912</v>
      </c>
      <c r="H147" s="44">
        <f>(+F147-G147)/G147</f>
        <v>-0.008578164812628178</v>
      </c>
      <c r="I147" s="52">
        <f>K147/C147</f>
        <v>33.65127505701596</v>
      </c>
      <c r="J147" s="52">
        <f>K147/F147</f>
        <v>70.29381850948589</v>
      </c>
      <c r="K147" s="50">
        <f>SUM(K135:K146)</f>
        <v>35884642.879999995</v>
      </c>
      <c r="L147" s="50">
        <f>SUM(L135:L146)</f>
        <v>35126643.31</v>
      </c>
      <c r="M147" s="46">
        <f>(+K147-L147)/L147</f>
        <v>0.02157904936462296</v>
      </c>
      <c r="N147" s="11"/>
      <c r="R147" s="2"/>
    </row>
    <row r="148" spans="1:18" ht="16.5" thickTop="1">
      <c r="A148" s="20"/>
      <c r="B148" s="47"/>
      <c r="C148" s="22"/>
      <c r="D148" s="22"/>
      <c r="E148" s="24"/>
      <c r="F148" s="22"/>
      <c r="G148" s="22"/>
      <c r="H148" s="24"/>
      <c r="I148" s="25"/>
      <c r="J148" s="25"/>
      <c r="K148" s="22"/>
      <c r="L148" s="22"/>
      <c r="M148" s="26"/>
      <c r="N148" s="11"/>
      <c r="R148" s="2"/>
    </row>
    <row r="149" spans="1:18" ht="15.75">
      <c r="A149" s="20" t="s">
        <v>20</v>
      </c>
      <c r="B149" s="21">
        <f>DATE(2011,7,1)</f>
        <v>40725</v>
      </c>
      <c r="C149" s="22">
        <v>666572</v>
      </c>
      <c r="D149" s="22">
        <v>749481</v>
      </c>
      <c r="E149" s="24">
        <f aca="true" t="shared" si="50" ref="E149:E159">(+C149-D149)/D149</f>
        <v>-0.1106218836768377</v>
      </c>
      <c r="F149" s="22">
        <f>+C149-338642</f>
        <v>327930</v>
      </c>
      <c r="G149" s="22">
        <f>+D149-367352</f>
        <v>382129</v>
      </c>
      <c r="H149" s="24">
        <f aca="true" t="shared" si="51" ref="H149:H157">(+F149-G149)/G149</f>
        <v>-0.141834302028896</v>
      </c>
      <c r="I149" s="25">
        <f aca="true" t="shared" si="52" ref="I149:I157">K149/C149</f>
        <v>36.69656298194344</v>
      </c>
      <c r="J149" s="25">
        <f aca="true" t="shared" si="53" ref="J149:J157">K149/F149</f>
        <v>74.59183783124448</v>
      </c>
      <c r="K149" s="22">
        <v>24460901.38</v>
      </c>
      <c r="L149" s="22">
        <v>25201803.34</v>
      </c>
      <c r="M149" s="26">
        <f aca="true" t="shared" si="54" ref="M149:M159">(+K149-L149)/L149</f>
        <v>-0.029398767620095273</v>
      </c>
      <c r="N149" s="11"/>
      <c r="R149" s="2"/>
    </row>
    <row r="150" spans="1:18" ht="15.75">
      <c r="A150" s="20"/>
      <c r="B150" s="21">
        <f>DATE(2011,8,1)</f>
        <v>40756</v>
      </c>
      <c r="C150" s="22">
        <v>661882</v>
      </c>
      <c r="D150" s="22">
        <v>663205</v>
      </c>
      <c r="E150" s="24">
        <f t="shared" si="50"/>
        <v>-0.001994858301731742</v>
      </c>
      <c r="F150" s="22">
        <f>+C150-325243</f>
        <v>336639</v>
      </c>
      <c r="G150" s="22">
        <f>+D150-326816</f>
        <v>336389</v>
      </c>
      <c r="H150" s="24">
        <f t="shared" si="51"/>
        <v>0.0007431872029109157</v>
      </c>
      <c r="I150" s="25">
        <f t="shared" si="52"/>
        <v>33.56642229279539</v>
      </c>
      <c r="J150" s="25">
        <f t="shared" si="53"/>
        <v>65.9965444288986</v>
      </c>
      <c r="K150" s="22">
        <v>22217010.72</v>
      </c>
      <c r="L150" s="22">
        <v>22854397.97</v>
      </c>
      <c r="M150" s="26">
        <f t="shared" si="54"/>
        <v>-0.02788904134935741</v>
      </c>
      <c r="N150" s="11"/>
      <c r="R150" s="2"/>
    </row>
    <row r="151" spans="1:18" ht="15.75">
      <c r="A151" s="20"/>
      <c r="B151" s="21">
        <f>DATE(2011,9,1)</f>
        <v>40787</v>
      </c>
      <c r="C151" s="22">
        <v>621050</v>
      </c>
      <c r="D151" s="22">
        <v>615273</v>
      </c>
      <c r="E151" s="24">
        <f t="shared" si="50"/>
        <v>0.009389327989364071</v>
      </c>
      <c r="F151" s="22">
        <f>+C151-317319</f>
        <v>303731</v>
      </c>
      <c r="G151" s="22">
        <f>+D151-306224</f>
        <v>309049</v>
      </c>
      <c r="H151" s="24">
        <f t="shared" si="51"/>
        <v>-0.017207627269462122</v>
      </c>
      <c r="I151" s="25">
        <f t="shared" si="52"/>
        <v>36.099167973593104</v>
      </c>
      <c r="J151" s="25">
        <f t="shared" si="53"/>
        <v>73.81330279095647</v>
      </c>
      <c r="K151" s="22">
        <v>22419388.27</v>
      </c>
      <c r="L151" s="22">
        <v>21583601.54</v>
      </c>
      <c r="M151" s="26">
        <f t="shared" si="54"/>
        <v>0.03872322830140611</v>
      </c>
      <c r="N151" s="11"/>
      <c r="R151" s="2"/>
    </row>
    <row r="152" spans="1:18" ht="15.75">
      <c r="A152" s="20"/>
      <c r="B152" s="21">
        <f>DATE(2011,10,1)</f>
        <v>40817</v>
      </c>
      <c r="C152" s="22">
        <v>591140</v>
      </c>
      <c r="D152" s="22">
        <v>650183</v>
      </c>
      <c r="E152" s="24">
        <f t="shared" si="50"/>
        <v>-0.09080981815888757</v>
      </c>
      <c r="F152" s="22">
        <f>+C152-300125</f>
        <v>291015</v>
      </c>
      <c r="G152" s="22">
        <f>+D152-329299</f>
        <v>320884</v>
      </c>
      <c r="H152" s="24">
        <f t="shared" si="51"/>
        <v>-0.0930834818813029</v>
      </c>
      <c r="I152" s="25">
        <f t="shared" si="52"/>
        <v>37.48695057008492</v>
      </c>
      <c r="J152" s="25">
        <f t="shared" si="53"/>
        <v>76.14740119925091</v>
      </c>
      <c r="K152" s="22">
        <v>22160035.96</v>
      </c>
      <c r="L152" s="22">
        <v>23468906.72</v>
      </c>
      <c r="M152" s="26">
        <f t="shared" si="54"/>
        <v>-0.05577041894689494</v>
      </c>
      <c r="N152" s="11"/>
      <c r="R152" s="2"/>
    </row>
    <row r="153" spans="1:18" ht="15.75">
      <c r="A153" s="20"/>
      <c r="B153" s="21">
        <f>DATE(2011,11,1)</f>
        <v>40848</v>
      </c>
      <c r="C153" s="22">
        <v>606333</v>
      </c>
      <c r="D153" s="22">
        <v>640037</v>
      </c>
      <c r="E153" s="24">
        <f t="shared" si="50"/>
        <v>-0.05265945562522167</v>
      </c>
      <c r="F153" s="22">
        <f>+C153-311860</f>
        <v>294473</v>
      </c>
      <c r="G153" s="22">
        <f>+D153-322785</f>
        <v>317252</v>
      </c>
      <c r="H153" s="24">
        <f t="shared" si="51"/>
        <v>-0.07180096579375386</v>
      </c>
      <c r="I153" s="25">
        <f t="shared" si="52"/>
        <v>35.49986860355613</v>
      </c>
      <c r="J153" s="25">
        <f t="shared" si="53"/>
        <v>73.09580786693516</v>
      </c>
      <c r="K153" s="22">
        <v>21524741.83</v>
      </c>
      <c r="L153" s="22">
        <v>22232018.17</v>
      </c>
      <c r="M153" s="26">
        <f t="shared" si="54"/>
        <v>-0.03181341138675416</v>
      </c>
      <c r="N153" s="11"/>
      <c r="R153" s="2"/>
    </row>
    <row r="154" spans="1:18" ht="15.75">
      <c r="A154" s="20"/>
      <c r="B154" s="21">
        <f>DATE(2011,12,1)</f>
        <v>40878</v>
      </c>
      <c r="C154" s="22">
        <v>670256</v>
      </c>
      <c r="D154" s="22">
        <v>662991</v>
      </c>
      <c r="E154" s="24">
        <f t="shared" si="50"/>
        <v>0.010957916472470968</v>
      </c>
      <c r="F154" s="22">
        <f>+C154-343591</f>
        <v>326665</v>
      </c>
      <c r="G154" s="22">
        <f>+D154-335237</f>
        <v>327754</v>
      </c>
      <c r="H154" s="24">
        <f t="shared" si="51"/>
        <v>-0.0033226139116532523</v>
      </c>
      <c r="I154" s="25">
        <f t="shared" si="52"/>
        <v>35.39168235718889</v>
      </c>
      <c r="J154" s="25">
        <f t="shared" si="53"/>
        <v>72.61716881208578</v>
      </c>
      <c r="K154" s="22">
        <v>23721487.45</v>
      </c>
      <c r="L154" s="22">
        <v>23358734.19</v>
      </c>
      <c r="M154" s="26">
        <f t="shared" si="54"/>
        <v>0.015529662568586209</v>
      </c>
      <c r="N154" s="11"/>
      <c r="R154" s="2"/>
    </row>
    <row r="155" spans="1:18" ht="15.75">
      <c r="A155" s="20"/>
      <c r="B155" s="21">
        <f>DATE(2012,1,1)</f>
        <v>40909</v>
      </c>
      <c r="C155" s="22">
        <v>604517</v>
      </c>
      <c r="D155" s="22">
        <v>666805</v>
      </c>
      <c r="E155" s="24">
        <f t="shared" si="50"/>
        <v>-0.09341261688199698</v>
      </c>
      <c r="F155" s="22">
        <f>+C155-312059</f>
        <v>292458</v>
      </c>
      <c r="G155" s="22">
        <f>+D155-336981</f>
        <v>329824</v>
      </c>
      <c r="H155" s="24">
        <f t="shared" si="51"/>
        <v>-0.11329072475016978</v>
      </c>
      <c r="I155" s="25">
        <f t="shared" si="52"/>
        <v>35.64147314302162</v>
      </c>
      <c r="J155" s="25">
        <f t="shared" si="53"/>
        <v>73.6716944655301</v>
      </c>
      <c r="K155" s="22">
        <v>21545876.42</v>
      </c>
      <c r="L155" s="22">
        <v>22266981.41</v>
      </c>
      <c r="M155" s="26">
        <f t="shared" si="54"/>
        <v>-0.032384496880037514</v>
      </c>
      <c r="N155" s="11"/>
      <c r="R155" s="2"/>
    </row>
    <row r="156" spans="1:18" ht="15.75">
      <c r="A156" s="20"/>
      <c r="B156" s="21">
        <f>DATE(2012,2,1)</f>
        <v>40940</v>
      </c>
      <c r="C156" s="22">
        <v>637384</v>
      </c>
      <c r="D156" s="22">
        <v>624166</v>
      </c>
      <c r="E156" s="24">
        <f t="shared" si="50"/>
        <v>0.021177058667085358</v>
      </c>
      <c r="F156" s="22">
        <f>+C156-337309</f>
        <v>300075</v>
      </c>
      <c r="G156" s="22">
        <f>+D156-326875</f>
        <v>297291</v>
      </c>
      <c r="H156" s="24">
        <f t="shared" si="51"/>
        <v>0.009364561994813163</v>
      </c>
      <c r="I156" s="25">
        <f t="shared" si="52"/>
        <v>36.78683790305373</v>
      </c>
      <c r="J156" s="25">
        <f t="shared" si="53"/>
        <v>78.13827173206698</v>
      </c>
      <c r="K156" s="22">
        <v>23447341.89</v>
      </c>
      <c r="L156" s="22">
        <v>23102680.85</v>
      </c>
      <c r="M156" s="26">
        <f t="shared" si="54"/>
        <v>0.01491865997014797</v>
      </c>
      <c r="N156" s="11"/>
      <c r="R156" s="2"/>
    </row>
    <row r="157" spans="1:18" ht="15.75">
      <c r="A157" s="20"/>
      <c r="B157" s="21">
        <f>DATE(2012,3,1)</f>
        <v>40969</v>
      </c>
      <c r="C157" s="22">
        <v>661156</v>
      </c>
      <c r="D157" s="22">
        <v>658708</v>
      </c>
      <c r="E157" s="24">
        <f t="shared" si="50"/>
        <v>0.00371636597703383</v>
      </c>
      <c r="F157" s="22">
        <f>+C157-344770</f>
        <v>316386</v>
      </c>
      <c r="G157" s="22">
        <f>+D157-341257</f>
        <v>317451</v>
      </c>
      <c r="H157" s="24">
        <f t="shared" si="51"/>
        <v>-0.003354848464802442</v>
      </c>
      <c r="I157" s="25">
        <f t="shared" si="52"/>
        <v>37.49516536188131</v>
      </c>
      <c r="J157" s="25">
        <f t="shared" si="53"/>
        <v>78.3541419342196</v>
      </c>
      <c r="K157" s="22">
        <v>24790153.55</v>
      </c>
      <c r="L157" s="22">
        <v>24806232.47</v>
      </c>
      <c r="M157" s="26">
        <f t="shared" si="54"/>
        <v>-0.0006481806545771706</v>
      </c>
      <c r="N157" s="11"/>
      <c r="R157" s="2"/>
    </row>
    <row r="158" spans="1:18" ht="15.75">
      <c r="A158" s="20"/>
      <c r="B158" s="21">
        <f>DATE(2012,4,1)</f>
        <v>41000</v>
      </c>
      <c r="C158" s="22">
        <v>581063</v>
      </c>
      <c r="D158" s="22">
        <v>632886</v>
      </c>
      <c r="E158" s="24">
        <f t="shared" si="50"/>
        <v>-0.08188362517104186</v>
      </c>
      <c r="F158" s="22">
        <f>C158-297943</f>
        <v>283120</v>
      </c>
      <c r="G158" s="22">
        <f>D158-326821</f>
        <v>306065</v>
      </c>
      <c r="H158" s="24">
        <f>(+F158-G158)/G158</f>
        <v>-0.07496773561171646</v>
      </c>
      <c r="I158" s="25">
        <f>K158/C158</f>
        <v>38.3977914787209</v>
      </c>
      <c r="J158" s="25">
        <f>K158/F158</f>
        <v>78.8059335617406</v>
      </c>
      <c r="K158" s="22">
        <v>22311535.91</v>
      </c>
      <c r="L158" s="22">
        <v>24090103.71</v>
      </c>
      <c r="M158" s="26">
        <f t="shared" si="54"/>
        <v>-0.07382981083895054</v>
      </c>
      <c r="N158" s="11"/>
      <c r="R158" s="2"/>
    </row>
    <row r="159" spans="1:18" ht="15.75">
      <c r="A159" s="20"/>
      <c r="B159" s="21">
        <f>DATE(2012,5,1)</f>
        <v>41030</v>
      </c>
      <c r="C159" s="22">
        <v>613533</v>
      </c>
      <c r="D159" s="22">
        <v>624503</v>
      </c>
      <c r="E159" s="24">
        <f t="shared" si="50"/>
        <v>-0.017565968458117896</v>
      </c>
      <c r="F159" s="22">
        <f>+C159-310027</f>
        <v>303506</v>
      </c>
      <c r="G159" s="22">
        <f>+D159-320359</f>
        <v>304144</v>
      </c>
      <c r="H159" s="24">
        <f>(+F159-G159)/G159</f>
        <v>-0.0020976905676258614</v>
      </c>
      <c r="I159" s="25">
        <f>K159/C159</f>
        <v>36.93858703606815</v>
      </c>
      <c r="J159" s="25">
        <f>K159/F159</f>
        <v>74.67082074159984</v>
      </c>
      <c r="K159" s="22">
        <v>22663042.12</v>
      </c>
      <c r="L159" s="22">
        <v>23440884.04</v>
      </c>
      <c r="M159" s="26">
        <f t="shared" si="54"/>
        <v>-0.03318313075021714</v>
      </c>
      <c r="N159" s="11"/>
      <c r="R159" s="2"/>
    </row>
    <row r="160" spans="1:18" ht="15.75" thickBot="1">
      <c r="A160" s="39"/>
      <c r="B160" s="47"/>
      <c r="C160" s="22"/>
      <c r="D160" s="22"/>
      <c r="E160" s="24"/>
      <c r="F160" s="22"/>
      <c r="G160" s="22"/>
      <c r="H160" s="24"/>
      <c r="I160" s="25"/>
      <c r="J160" s="25"/>
      <c r="K160" s="22"/>
      <c r="L160" s="22"/>
      <c r="M160" s="26"/>
      <c r="N160" s="11"/>
      <c r="R160" s="2"/>
    </row>
    <row r="161" spans="1:18" ht="17.25" thickBot="1" thickTop="1">
      <c r="A161" s="40" t="s">
        <v>14</v>
      </c>
      <c r="B161" s="41"/>
      <c r="C161" s="42">
        <f>SUM(C149:C160)</f>
        <v>6914886</v>
      </c>
      <c r="D161" s="42">
        <f>SUM(D149:D160)</f>
        <v>7188238</v>
      </c>
      <c r="E161" s="43">
        <f>(+C161-D161)/D161</f>
        <v>-0.03802767799285444</v>
      </c>
      <c r="F161" s="42">
        <f>SUM(F149:F160)</f>
        <v>3375998</v>
      </c>
      <c r="G161" s="42">
        <f>SUM(G149:G160)</f>
        <v>3548232</v>
      </c>
      <c r="H161" s="44">
        <f>(+F161-G161)/G161</f>
        <v>-0.04854079440126801</v>
      </c>
      <c r="I161" s="45">
        <f>K161/C161</f>
        <v>36.33632072893175</v>
      </c>
      <c r="J161" s="45">
        <f>K161/F161</f>
        <v>74.42584844540784</v>
      </c>
      <c r="K161" s="42">
        <f>SUM(K149:K160)</f>
        <v>251261515.49999997</v>
      </c>
      <c r="L161" s="42">
        <f>SUM(L149:L160)</f>
        <v>256406344.41</v>
      </c>
      <c r="M161" s="46">
        <f>(+K161-L161)/L161</f>
        <v>-0.020065138878831015</v>
      </c>
      <c r="N161" s="11"/>
      <c r="R161" s="2"/>
    </row>
    <row r="162" spans="1:18" ht="16.5" thickTop="1">
      <c r="A162" s="20"/>
      <c r="B162" s="47"/>
      <c r="C162" s="22"/>
      <c r="D162" s="22"/>
      <c r="E162" s="24"/>
      <c r="F162" s="22"/>
      <c r="G162" s="22"/>
      <c r="H162" s="24"/>
      <c r="I162" s="25"/>
      <c r="J162" s="25"/>
      <c r="K162" s="22"/>
      <c r="L162" s="22"/>
      <c r="M162" s="26"/>
      <c r="N162" s="11"/>
      <c r="R162" s="2"/>
    </row>
    <row r="163" spans="1:18" ht="15.75">
      <c r="A163" s="20" t="s">
        <v>66</v>
      </c>
      <c r="B163" s="21">
        <f>DATE(2011,7,1)</f>
        <v>40725</v>
      </c>
      <c r="C163" s="22">
        <v>0</v>
      </c>
      <c r="D163" s="22">
        <v>118468</v>
      </c>
      <c r="E163" s="24">
        <f aca="true" t="shared" si="55" ref="E163:E173">(+C163-D163)/D163</f>
        <v>-1</v>
      </c>
      <c r="F163" s="22">
        <f>+C163-0</f>
        <v>0</v>
      </c>
      <c r="G163" s="22">
        <f>+D163-60257</f>
        <v>58211</v>
      </c>
      <c r="H163" s="24">
        <f aca="true" t="shared" si="56" ref="H163:H171">(+F163-G163)/G163</f>
        <v>-1</v>
      </c>
      <c r="I163" s="25">
        <v>0</v>
      </c>
      <c r="J163" s="25">
        <v>0</v>
      </c>
      <c r="K163" s="22">
        <v>0</v>
      </c>
      <c r="L163" s="22">
        <v>3552145.48</v>
      </c>
      <c r="M163" s="26">
        <f aca="true" t="shared" si="57" ref="M163:M173">(+K163-L163)/L163</f>
        <v>-1</v>
      </c>
      <c r="N163" s="11"/>
      <c r="R163" s="2"/>
    </row>
    <row r="164" spans="1:18" ht="15.75">
      <c r="A164" s="20"/>
      <c r="B164" s="21">
        <f>DATE(2011,8,1)</f>
        <v>40756</v>
      </c>
      <c r="C164" s="22">
        <v>0</v>
      </c>
      <c r="D164" s="22">
        <v>114324</v>
      </c>
      <c r="E164" s="24">
        <f t="shared" si="55"/>
        <v>-1</v>
      </c>
      <c r="F164" s="22">
        <v>0</v>
      </c>
      <c r="G164" s="22">
        <f>+D164-57817</f>
        <v>56507</v>
      </c>
      <c r="H164" s="24">
        <f t="shared" si="56"/>
        <v>-1</v>
      </c>
      <c r="I164" s="25">
        <v>0</v>
      </c>
      <c r="J164" s="25">
        <v>0</v>
      </c>
      <c r="K164" s="22">
        <v>0</v>
      </c>
      <c r="L164" s="22">
        <v>3241678.1</v>
      </c>
      <c r="M164" s="26">
        <f t="shared" si="57"/>
        <v>-1</v>
      </c>
      <c r="N164" s="11"/>
      <c r="R164" s="2"/>
    </row>
    <row r="165" spans="1:18" ht="15.75">
      <c r="A165" s="20"/>
      <c r="B165" s="21">
        <f>DATE(2011,9,1)</f>
        <v>40787</v>
      </c>
      <c r="C165" s="22">
        <v>10933</v>
      </c>
      <c r="D165" s="22">
        <v>109224</v>
      </c>
      <c r="E165" s="24">
        <f t="shared" si="55"/>
        <v>-0.89990295173222</v>
      </c>
      <c r="F165" s="22">
        <f>+C165-5465</f>
        <v>5468</v>
      </c>
      <c r="G165" s="22">
        <f>+D165-55441</f>
        <v>53783</v>
      </c>
      <c r="H165" s="24">
        <f t="shared" si="56"/>
        <v>-0.8983321867504602</v>
      </c>
      <c r="I165" s="25">
        <f aca="true" t="shared" si="58" ref="I165:I171">K165/C165</f>
        <v>32.67371901582366</v>
      </c>
      <c r="J165" s="25">
        <f aca="true" t="shared" si="59" ref="J165:J171">K165/F165</f>
        <v>65.32951170446233</v>
      </c>
      <c r="K165" s="22">
        <v>357221.77</v>
      </c>
      <c r="L165" s="22">
        <v>3235468.85</v>
      </c>
      <c r="M165" s="26">
        <f t="shared" si="57"/>
        <v>-0.8895919613010645</v>
      </c>
      <c r="N165" s="11"/>
      <c r="R165" s="2"/>
    </row>
    <row r="166" spans="1:18" ht="15.75">
      <c r="A166" s="20"/>
      <c r="B166" s="21">
        <f>DATE(2011,10,1)</f>
        <v>40817</v>
      </c>
      <c r="C166" s="22">
        <v>114753</v>
      </c>
      <c r="D166" s="22">
        <v>113407</v>
      </c>
      <c r="E166" s="24">
        <f t="shared" si="55"/>
        <v>0.011868755896902308</v>
      </c>
      <c r="F166" s="22">
        <f>+C166-57879</f>
        <v>56874</v>
      </c>
      <c r="G166" s="22">
        <f>+D166-57546</f>
        <v>55861</v>
      </c>
      <c r="H166" s="24">
        <f t="shared" si="56"/>
        <v>0.018134297631621346</v>
      </c>
      <c r="I166" s="25">
        <f t="shared" si="58"/>
        <v>31.471505842984495</v>
      </c>
      <c r="J166" s="25">
        <f t="shared" si="59"/>
        <v>63.499133347399514</v>
      </c>
      <c r="K166" s="22">
        <v>3611449.71</v>
      </c>
      <c r="L166" s="22">
        <v>3362545.61</v>
      </c>
      <c r="M166" s="26">
        <f t="shared" si="57"/>
        <v>0.07402252009899134</v>
      </c>
      <c r="N166" s="11"/>
      <c r="R166" s="2"/>
    </row>
    <row r="167" spans="1:18" ht="15.75">
      <c r="A167" s="20"/>
      <c r="B167" s="21">
        <f>DATE(2011,11,1)</f>
        <v>40848</v>
      </c>
      <c r="C167" s="22">
        <v>105732</v>
      </c>
      <c r="D167" s="22">
        <v>103711</v>
      </c>
      <c r="E167" s="24">
        <f t="shared" si="55"/>
        <v>0.019486843247100115</v>
      </c>
      <c r="F167" s="22">
        <f>+C167-54255</f>
        <v>51477</v>
      </c>
      <c r="G167" s="22">
        <f>+D167-52883</f>
        <v>50828</v>
      </c>
      <c r="H167" s="24">
        <f t="shared" si="56"/>
        <v>0.012768552766191862</v>
      </c>
      <c r="I167" s="25">
        <f t="shared" si="58"/>
        <v>31.69481680096849</v>
      </c>
      <c r="J167" s="25">
        <f t="shared" si="59"/>
        <v>65.10007129397596</v>
      </c>
      <c r="K167" s="22">
        <v>3351156.37</v>
      </c>
      <c r="L167" s="22">
        <v>3135318.76</v>
      </c>
      <c r="M167" s="26">
        <f t="shared" si="57"/>
        <v>0.06884072291265222</v>
      </c>
      <c r="N167" s="11"/>
      <c r="R167" s="2"/>
    </row>
    <row r="168" spans="1:18" ht="15.75">
      <c r="A168" s="20"/>
      <c r="B168" s="21">
        <f>DATE(2011,12,1)</f>
        <v>40878</v>
      </c>
      <c r="C168" s="22">
        <v>110069</v>
      </c>
      <c r="D168" s="22">
        <v>108617</v>
      </c>
      <c r="E168" s="24">
        <f t="shared" si="55"/>
        <v>0.013368073137722456</v>
      </c>
      <c r="F168" s="22">
        <f>+C168-56240</f>
        <v>53829</v>
      </c>
      <c r="G168" s="22">
        <f>+D168-55720</f>
        <v>52897</v>
      </c>
      <c r="H168" s="24">
        <f t="shared" si="56"/>
        <v>0.017619146643476944</v>
      </c>
      <c r="I168" s="25">
        <f t="shared" si="58"/>
        <v>32.06285139321698</v>
      </c>
      <c r="J168" s="25">
        <f t="shared" si="59"/>
        <v>65.56179735830129</v>
      </c>
      <c r="K168" s="22">
        <v>3529125.99</v>
      </c>
      <c r="L168" s="22">
        <v>3449371</v>
      </c>
      <c r="M168" s="26">
        <f t="shared" si="57"/>
        <v>0.023121603909814346</v>
      </c>
      <c r="N168" s="11"/>
      <c r="R168" s="2"/>
    </row>
    <row r="169" spans="1:18" ht="15.75">
      <c r="A169" s="20"/>
      <c r="B169" s="21">
        <f>DATE(2012,1,1)</f>
        <v>40909</v>
      </c>
      <c r="C169" s="22">
        <v>104737</v>
      </c>
      <c r="D169" s="22">
        <v>101196</v>
      </c>
      <c r="E169" s="24">
        <f t="shared" si="55"/>
        <v>0.03499150164038104</v>
      </c>
      <c r="F169" s="22">
        <f>+C169-53425</f>
        <v>51312</v>
      </c>
      <c r="G169" s="22">
        <f>+D169-52535</f>
        <v>48661</v>
      </c>
      <c r="H169" s="24">
        <f t="shared" si="56"/>
        <v>0.05447894617866464</v>
      </c>
      <c r="I169" s="25">
        <f t="shared" si="58"/>
        <v>31.282951869921803</v>
      </c>
      <c r="J169" s="25">
        <f t="shared" si="59"/>
        <v>63.8541185297786</v>
      </c>
      <c r="K169" s="22">
        <v>3276482.53</v>
      </c>
      <c r="L169" s="22">
        <v>3050097.51</v>
      </c>
      <c r="M169" s="26">
        <f t="shared" si="57"/>
        <v>0.07422222380031386</v>
      </c>
      <c r="N169" s="11"/>
      <c r="R169" s="2"/>
    </row>
    <row r="170" spans="1:18" ht="15.75">
      <c r="A170" s="20"/>
      <c r="B170" s="21">
        <f>DATE(2012,2,1)</f>
        <v>40940</v>
      </c>
      <c r="C170" s="22">
        <v>116367</v>
      </c>
      <c r="D170" s="22">
        <v>110926</v>
      </c>
      <c r="E170" s="24">
        <f t="shared" si="55"/>
        <v>0.049050718497016026</v>
      </c>
      <c r="F170" s="22">
        <f>+C170-59940</f>
        <v>56427</v>
      </c>
      <c r="G170" s="22">
        <f>+D170-58406</f>
        <v>52520</v>
      </c>
      <c r="H170" s="24">
        <f t="shared" si="56"/>
        <v>0.07439070830159938</v>
      </c>
      <c r="I170" s="25">
        <f t="shared" si="58"/>
        <v>32.896651026493764</v>
      </c>
      <c r="J170" s="25">
        <f t="shared" si="59"/>
        <v>67.84136299998228</v>
      </c>
      <c r="K170" s="22">
        <v>3828084.59</v>
      </c>
      <c r="L170" s="22">
        <v>3422270.21</v>
      </c>
      <c r="M170" s="26">
        <f t="shared" si="57"/>
        <v>0.11858046124300627</v>
      </c>
      <c r="N170" s="11"/>
      <c r="R170" s="2"/>
    </row>
    <row r="171" spans="1:18" ht="15.75">
      <c r="A171" s="20"/>
      <c r="B171" s="21">
        <f>DATE(2012,3,1)</f>
        <v>40969</v>
      </c>
      <c r="C171" s="22">
        <v>113619</v>
      </c>
      <c r="D171" s="22">
        <v>123144</v>
      </c>
      <c r="E171" s="24">
        <f t="shared" si="55"/>
        <v>-0.07734847008380433</v>
      </c>
      <c r="F171" s="22">
        <f>+C171-57499</f>
        <v>56120</v>
      </c>
      <c r="G171" s="22">
        <f>+D171-63344</f>
        <v>59800</v>
      </c>
      <c r="H171" s="24">
        <f t="shared" si="56"/>
        <v>-0.06153846153846154</v>
      </c>
      <c r="I171" s="25">
        <f t="shared" si="58"/>
        <v>32.40804214083912</v>
      </c>
      <c r="J171" s="25">
        <f t="shared" si="59"/>
        <v>65.61242587312901</v>
      </c>
      <c r="K171" s="22">
        <v>3682169.34</v>
      </c>
      <c r="L171" s="22">
        <v>3773281</v>
      </c>
      <c r="M171" s="26">
        <f t="shared" si="57"/>
        <v>-0.024146534541159313</v>
      </c>
      <c r="N171" s="11"/>
      <c r="R171" s="2"/>
    </row>
    <row r="172" spans="1:18" ht="15.75">
      <c r="A172" s="20"/>
      <c r="B172" s="21">
        <f>DATE(2012,4,1)</f>
        <v>41000</v>
      </c>
      <c r="C172" s="22">
        <v>101984</v>
      </c>
      <c r="D172" s="22">
        <v>114395</v>
      </c>
      <c r="E172" s="24">
        <f t="shared" si="55"/>
        <v>-0.10849250404300888</v>
      </c>
      <c r="F172" s="22">
        <f>C172-51752</f>
        <v>50232</v>
      </c>
      <c r="G172" s="22">
        <f>D172-58225</f>
        <v>56170</v>
      </c>
      <c r="H172" s="24">
        <f>(+F172-G172)/G172</f>
        <v>-0.10571479437422111</v>
      </c>
      <c r="I172" s="25">
        <f>K172/C172</f>
        <v>33.82784034750549</v>
      </c>
      <c r="J172" s="25">
        <f>K172/F172</f>
        <v>68.6792974597866</v>
      </c>
      <c r="K172" s="22">
        <v>3449898.47</v>
      </c>
      <c r="L172" s="22">
        <v>3578577.69</v>
      </c>
      <c r="M172" s="26">
        <f t="shared" si="57"/>
        <v>-0.035958202153772365</v>
      </c>
      <c r="N172" s="11"/>
      <c r="R172" s="2"/>
    </row>
    <row r="173" spans="1:18" ht="15.75">
      <c r="A173" s="20"/>
      <c r="B173" s="21">
        <f>DATE(2012,5,1)</f>
        <v>41030</v>
      </c>
      <c r="C173" s="22">
        <v>102106</v>
      </c>
      <c r="D173" s="22">
        <v>113772</v>
      </c>
      <c r="E173" s="24">
        <f t="shared" si="55"/>
        <v>-0.10253841015364061</v>
      </c>
      <c r="F173" s="22">
        <f>+C173-51359</f>
        <v>50747</v>
      </c>
      <c r="G173" s="22">
        <f>+D173-57874</f>
        <v>55898</v>
      </c>
      <c r="H173" s="24">
        <f>(+F173-G173)/G173</f>
        <v>-0.0921499874771906</v>
      </c>
      <c r="I173" s="25">
        <f>K173/C173</f>
        <v>32.54778622216128</v>
      </c>
      <c r="J173" s="25">
        <f>K173/F173</f>
        <v>65.48809308924665</v>
      </c>
      <c r="K173" s="22">
        <v>3323324.26</v>
      </c>
      <c r="L173" s="22">
        <v>3456730.22</v>
      </c>
      <c r="M173" s="26">
        <f t="shared" si="57"/>
        <v>-0.038593107216796464</v>
      </c>
      <c r="N173" s="11"/>
      <c r="R173" s="2"/>
    </row>
    <row r="174" spans="1:18" ht="15.75" thickBot="1">
      <c r="A174" s="39"/>
      <c r="B174" s="47"/>
      <c r="C174" s="22"/>
      <c r="D174" s="22"/>
      <c r="E174" s="24"/>
      <c r="F174" s="22"/>
      <c r="G174" s="22"/>
      <c r="H174" s="24"/>
      <c r="I174" s="25"/>
      <c r="J174" s="25"/>
      <c r="K174" s="22"/>
      <c r="L174" s="22"/>
      <c r="M174" s="26"/>
      <c r="N174" s="11"/>
      <c r="R174" s="2"/>
    </row>
    <row r="175" spans="1:18" ht="17.25" thickBot="1" thickTop="1">
      <c r="A175" s="27" t="s">
        <v>14</v>
      </c>
      <c r="B175" s="28"/>
      <c r="C175" s="29">
        <f>SUM(C163:C174)</f>
        <v>880300</v>
      </c>
      <c r="D175" s="29">
        <f>SUM(D163:D174)</f>
        <v>1231184</v>
      </c>
      <c r="E175" s="30">
        <f>(+C175-D175)/D175</f>
        <v>-0.28499720594159766</v>
      </c>
      <c r="F175" s="29">
        <f>SUM(F163:F174)</f>
        <v>432486</v>
      </c>
      <c r="G175" s="29">
        <f>SUM(G163:G174)</f>
        <v>601136</v>
      </c>
      <c r="H175" s="31">
        <f>(+F175-G175)/G175</f>
        <v>-0.2805521545873147</v>
      </c>
      <c r="I175" s="45">
        <f>K175/C175</f>
        <v>32.27185394751789</v>
      </c>
      <c r="J175" s="45">
        <f>K175/F175</f>
        <v>65.6874743459904</v>
      </c>
      <c r="K175" s="29">
        <f>SUM(K163:K174)</f>
        <v>28408913.03</v>
      </c>
      <c r="L175" s="29">
        <f>SUM(L163:L174)</f>
        <v>37257484.42999999</v>
      </c>
      <c r="M175" s="33">
        <f>(+K175-L175)/L175</f>
        <v>-0.23749782185710472</v>
      </c>
      <c r="N175" s="11"/>
      <c r="R175" s="2"/>
    </row>
    <row r="176" spans="1:18" ht="16.5" thickBot="1" thickTop="1">
      <c r="A176" s="65"/>
      <c r="B176" s="35"/>
      <c r="C176" s="36"/>
      <c r="D176" s="36"/>
      <c r="E176" s="30"/>
      <c r="F176" s="36"/>
      <c r="G176" s="36"/>
      <c r="H176" s="30"/>
      <c r="I176" s="37"/>
      <c r="J176" s="37"/>
      <c r="K176" s="36"/>
      <c r="L176" s="36"/>
      <c r="M176" s="38"/>
      <c r="N176" s="11"/>
      <c r="R176" s="2"/>
    </row>
    <row r="177" spans="1:18" ht="17.25" thickBot="1" thickTop="1">
      <c r="A177" s="66" t="s">
        <v>21</v>
      </c>
      <c r="B177" s="67"/>
      <c r="C177" s="29">
        <f>C175+C161+C77+C91+C105+C49+C21+C119+C133+C63+C147+C35</f>
        <v>47473266</v>
      </c>
      <c r="D177" s="29">
        <f>D175+D161+D77+D91+D105+D49+D21+D119+D133+D63+D147+D35</f>
        <v>50056705</v>
      </c>
      <c r="E177" s="30">
        <f>(+C177-D177)/D177</f>
        <v>-0.05161024881681685</v>
      </c>
      <c r="F177" s="29">
        <f>F175+F161+F77+F91+F105+F49+F21+F119+F133+F63+F147+F35</f>
        <v>23308738</v>
      </c>
      <c r="G177" s="29">
        <f>G175+G161+G77+G91+G105+G49+G21+G119+G133+G63+G147+G35</f>
        <v>24425001</v>
      </c>
      <c r="H177" s="31">
        <f>(+F177-G177)/G177</f>
        <v>-0.045701656266052965</v>
      </c>
      <c r="I177" s="32">
        <f>K177/C177</f>
        <v>34.68813965085108</v>
      </c>
      <c r="J177" s="32">
        <f>K177/F177</f>
        <v>70.64986876123453</v>
      </c>
      <c r="K177" s="29">
        <f>K175+K161+K77+K91+K105+K49+K21+K119+K133+K63+K147+K35</f>
        <v>1646759280.6900003</v>
      </c>
      <c r="L177" s="29">
        <f>L175+L161+L77+L91+L105+L49+L21+L119+L133+L63+L147+L35</f>
        <v>1661562178.74</v>
      </c>
      <c r="M177" s="33">
        <f>(+K177-L177)/L177</f>
        <v>-0.0089090244345987</v>
      </c>
      <c r="N177" s="11"/>
      <c r="R177" s="2"/>
    </row>
    <row r="178" spans="1:18" ht="17.25" thickBot="1" thickTop="1">
      <c r="A178" s="66"/>
      <c r="B178" s="67"/>
      <c r="C178" s="29"/>
      <c r="D178" s="29"/>
      <c r="E178" s="30"/>
      <c r="F178" s="29"/>
      <c r="G178" s="29"/>
      <c r="H178" s="31"/>
      <c r="I178" s="32"/>
      <c r="J178" s="32"/>
      <c r="K178" s="29"/>
      <c r="L178" s="29"/>
      <c r="M178" s="33"/>
      <c r="N178" s="11"/>
      <c r="R178" s="2"/>
    </row>
    <row r="179" spans="1:18" ht="17.25" thickBot="1" thickTop="1">
      <c r="A179" s="66" t="s">
        <v>22</v>
      </c>
      <c r="B179" s="67"/>
      <c r="C179" s="29">
        <f>+C19+C33+C47+C61+C75+C89+C103+C117+C131+C145+C159+C173</f>
        <v>4111486</v>
      </c>
      <c r="D179" s="29">
        <f>+D19+D33+D47+D61+D75+D89+D103+D117+D131+D145+D159+D173</f>
        <v>4416173</v>
      </c>
      <c r="E179" s="30">
        <f>(+C179-D179)/D179</f>
        <v>-0.068993447494018</v>
      </c>
      <c r="F179" s="29">
        <f>+F19+F33+F47+F61+F75+F89+F103+F117+F131+F145+F159+F173</f>
        <v>2039978</v>
      </c>
      <c r="G179" s="29">
        <f>+G19+G33+G47+G61+G75+G89+G103+G117+G131+G145+G159+G173</f>
        <v>2163274</v>
      </c>
      <c r="H179" s="31">
        <f>(+F179-G179)/G179</f>
        <v>-0.056995091698971094</v>
      </c>
      <c r="I179" s="32">
        <f>K179/C179</f>
        <v>35.68343222377505</v>
      </c>
      <c r="J179" s="32">
        <f>K179/F179</f>
        <v>71.91838932576722</v>
      </c>
      <c r="K179" s="29">
        <f>+K19+K33+K47+K61+K75+K89+K103+K117+K131+K145+K159+K173</f>
        <v>146711932.01999998</v>
      </c>
      <c r="L179" s="29">
        <f>+L19+L33+L47+L61+L75+L89+L103+L117+L131+L145+L159+L173</f>
        <v>155052624.85</v>
      </c>
      <c r="M179" s="46">
        <f>(+K179-L179)/L179</f>
        <v>-0.05379265806089328</v>
      </c>
      <c r="N179" s="11"/>
      <c r="R179" s="2"/>
    </row>
    <row r="180" spans="1:18" ht="15.75" thickTop="1">
      <c r="A180" s="68"/>
      <c r="B180" s="69"/>
      <c r="C180" s="70"/>
      <c r="D180" s="69"/>
      <c r="E180" s="69"/>
      <c r="F180" s="69"/>
      <c r="G180" s="69"/>
      <c r="H180" s="69"/>
      <c r="I180" s="69"/>
      <c r="J180" s="69"/>
      <c r="K180" s="70"/>
      <c r="L180" s="70"/>
      <c r="M180" s="69"/>
      <c r="R180" s="2"/>
    </row>
    <row r="181" spans="1:18" ht="15.75">
      <c r="A181" s="262" t="s">
        <v>67</v>
      </c>
      <c r="B181" s="264"/>
      <c r="C181" s="265"/>
      <c r="D181" s="265"/>
      <c r="E181" s="265"/>
      <c r="F181" s="266"/>
      <c r="G181" s="263"/>
      <c r="H181" s="263"/>
      <c r="I181" s="267"/>
      <c r="J181" s="267"/>
      <c r="K181" s="268"/>
      <c r="L181" s="268"/>
      <c r="M181" s="267"/>
      <c r="R181" s="2"/>
    </row>
    <row r="182" spans="1:18" ht="15.75">
      <c r="A182" s="262" t="s">
        <v>68</v>
      </c>
      <c r="B182" s="264"/>
      <c r="C182" s="265"/>
      <c r="D182" s="265"/>
      <c r="E182" s="265"/>
      <c r="F182" s="266"/>
      <c r="G182" s="263"/>
      <c r="H182" s="263"/>
      <c r="I182" s="267"/>
      <c r="J182" s="267"/>
      <c r="K182" s="268"/>
      <c r="L182" s="268"/>
      <c r="M182" s="267"/>
      <c r="R182" s="2"/>
    </row>
    <row r="183" spans="1:18" ht="15.75">
      <c r="A183" s="262" t="s">
        <v>69</v>
      </c>
      <c r="B183" s="264"/>
      <c r="C183" s="265"/>
      <c r="D183" s="265"/>
      <c r="E183" s="265"/>
      <c r="F183" s="266"/>
      <c r="G183" s="263"/>
      <c r="H183" s="263"/>
      <c r="I183" s="267"/>
      <c r="J183" s="267"/>
      <c r="K183" s="268"/>
      <c r="L183" s="268"/>
      <c r="M183" s="267"/>
      <c r="R183" s="2"/>
    </row>
    <row r="184" spans="1:18" ht="18.75">
      <c r="A184" s="272" t="s">
        <v>23</v>
      </c>
      <c r="B184" s="72"/>
      <c r="C184" s="73"/>
      <c r="D184" s="73"/>
      <c r="E184" s="73"/>
      <c r="F184" s="73"/>
      <c r="G184" s="73"/>
      <c r="H184" s="73"/>
      <c r="I184" s="73"/>
      <c r="J184" s="73"/>
      <c r="K184" s="204"/>
      <c r="L184" s="204"/>
      <c r="M184" s="73"/>
      <c r="N184" s="2"/>
      <c r="O184" s="2"/>
      <c r="P184" s="2"/>
      <c r="Q184" s="2"/>
      <c r="R184" s="2"/>
    </row>
    <row r="185" spans="1:18" ht="18">
      <c r="A185" s="71"/>
      <c r="B185" s="72"/>
      <c r="C185" s="73"/>
      <c r="D185" s="73"/>
      <c r="E185" s="73"/>
      <c r="F185" s="73"/>
      <c r="G185" s="73"/>
      <c r="H185" s="73"/>
      <c r="I185" s="73"/>
      <c r="J185" s="73"/>
      <c r="K185" s="204"/>
      <c r="L185" s="204"/>
      <c r="M185" s="73"/>
      <c r="N185" s="2"/>
      <c r="O185" s="2"/>
      <c r="P185" s="2"/>
      <c r="Q185" s="2"/>
      <c r="R185" s="2"/>
    </row>
    <row r="186" spans="1:18" ht="15.75">
      <c r="A186" s="74"/>
      <c r="B186" s="75"/>
      <c r="C186" s="76"/>
      <c r="D186" s="76"/>
      <c r="E186" s="76"/>
      <c r="F186" s="76"/>
      <c r="G186" s="76"/>
      <c r="H186" s="76"/>
      <c r="I186" s="76"/>
      <c r="J186" s="76"/>
      <c r="K186" s="198"/>
      <c r="L186" s="198"/>
      <c r="M186" s="77"/>
      <c r="N186" s="2"/>
      <c r="O186" s="2"/>
      <c r="P186" s="2"/>
      <c r="Q186" s="2"/>
      <c r="R186" s="2"/>
    </row>
    <row r="187" spans="1:18" ht="15">
      <c r="A187" s="2"/>
      <c r="B187" s="75"/>
      <c r="C187" s="76"/>
      <c r="D187" s="76"/>
      <c r="E187" s="76"/>
      <c r="F187" s="76"/>
      <c r="G187" s="76"/>
      <c r="H187" s="76"/>
      <c r="I187" s="76"/>
      <c r="J187" s="76"/>
      <c r="K187" s="198"/>
      <c r="L187" s="198"/>
      <c r="M187" s="77"/>
      <c r="N187" s="2"/>
      <c r="O187" s="2"/>
      <c r="P187" s="2"/>
      <c r="Q187" s="2"/>
      <c r="R187" s="2"/>
    </row>
    <row r="188" spans="1:18" ht="15">
      <c r="A188" s="2"/>
      <c r="B188" s="75"/>
      <c r="C188" s="76"/>
      <c r="D188" s="76"/>
      <c r="E188" s="76"/>
      <c r="F188" s="76"/>
      <c r="G188" s="76"/>
      <c r="H188" s="76"/>
      <c r="I188" s="76"/>
      <c r="J188" s="76"/>
      <c r="K188" s="198"/>
      <c r="L188" s="198"/>
      <c r="M188" s="77"/>
      <c r="N188" s="2"/>
      <c r="O188" s="2"/>
      <c r="P188" s="2"/>
      <c r="Q188" s="2"/>
      <c r="R188" s="2"/>
    </row>
    <row r="189" spans="1:18" ht="15">
      <c r="A189" s="2"/>
      <c r="B189" s="75"/>
      <c r="C189" s="76"/>
      <c r="D189" s="76"/>
      <c r="E189" s="76"/>
      <c r="F189" s="76"/>
      <c r="G189" s="76"/>
      <c r="H189" s="76"/>
      <c r="I189" s="76"/>
      <c r="J189" s="76"/>
      <c r="K189" s="198"/>
      <c r="L189" s="198"/>
      <c r="M189" s="77"/>
      <c r="N189" s="2"/>
      <c r="O189" s="2"/>
      <c r="P189" s="2"/>
      <c r="Q189" s="2"/>
      <c r="R189" s="2"/>
    </row>
    <row r="190" spans="1:18" ht="15">
      <c r="A190" s="2"/>
      <c r="B190" s="75"/>
      <c r="C190" s="76"/>
      <c r="D190" s="76"/>
      <c r="E190" s="76"/>
      <c r="F190" s="76"/>
      <c r="G190" s="76"/>
      <c r="H190" s="76"/>
      <c r="I190" s="76"/>
      <c r="J190" s="76"/>
      <c r="K190" s="198"/>
      <c r="L190" s="198"/>
      <c r="M190" s="77"/>
      <c r="N190" s="2"/>
      <c r="O190" s="2"/>
      <c r="P190" s="2"/>
      <c r="Q190" s="2"/>
      <c r="R190" s="2"/>
    </row>
    <row r="191" spans="1:18" ht="15">
      <c r="A191" s="2"/>
      <c r="B191" s="75"/>
      <c r="C191" s="76"/>
      <c r="D191" s="76"/>
      <c r="E191" s="76"/>
      <c r="F191" s="76"/>
      <c r="G191" s="76"/>
      <c r="H191" s="76"/>
      <c r="I191" s="76"/>
      <c r="J191" s="76"/>
      <c r="K191" s="198"/>
      <c r="L191" s="198"/>
      <c r="M191" s="77"/>
      <c r="N191" s="2"/>
      <c r="O191" s="2"/>
      <c r="P191" s="2"/>
      <c r="Q191" s="2"/>
      <c r="R191" s="2"/>
    </row>
    <row r="192" spans="1:18" ht="15">
      <c r="A192" s="2"/>
      <c r="B192" s="75"/>
      <c r="C192" s="76"/>
      <c r="D192" s="76"/>
      <c r="E192" s="76"/>
      <c r="F192" s="76"/>
      <c r="G192" s="76"/>
      <c r="H192" s="76"/>
      <c r="I192" s="76"/>
      <c r="J192" s="76"/>
      <c r="K192" s="198"/>
      <c r="L192" s="198"/>
      <c r="M192" s="77"/>
      <c r="N192" s="2"/>
      <c r="O192" s="2"/>
      <c r="P192" s="2"/>
      <c r="Q192" s="2"/>
      <c r="R192" s="2"/>
    </row>
    <row r="193" spans="1:18" ht="15">
      <c r="A193" s="2"/>
      <c r="B193" s="75"/>
      <c r="C193" s="76"/>
      <c r="D193" s="76"/>
      <c r="E193" s="76"/>
      <c r="F193" s="76"/>
      <c r="G193" s="76"/>
      <c r="H193" s="76"/>
      <c r="I193" s="76"/>
      <c r="J193" s="76"/>
      <c r="K193" s="198"/>
      <c r="L193" s="198"/>
      <c r="M193" s="77"/>
      <c r="N193" s="2"/>
      <c r="O193" s="2"/>
      <c r="P193" s="2"/>
      <c r="Q193" s="2"/>
      <c r="R193" s="2"/>
    </row>
    <row r="194" spans="1:18" ht="15">
      <c r="A194" s="2"/>
      <c r="B194" s="75"/>
      <c r="C194" s="76"/>
      <c r="D194" s="76"/>
      <c r="E194" s="76"/>
      <c r="F194" s="76"/>
      <c r="G194" s="76"/>
      <c r="H194" s="76"/>
      <c r="I194" s="76"/>
      <c r="J194" s="76"/>
      <c r="K194" s="198"/>
      <c r="L194" s="198"/>
      <c r="M194" s="77"/>
      <c r="N194" s="2"/>
      <c r="O194" s="2"/>
      <c r="P194" s="2"/>
      <c r="Q194" s="2"/>
      <c r="R194" s="2"/>
    </row>
    <row r="195" spans="1:18" ht="15">
      <c r="A195" s="2"/>
      <c r="B195" s="75"/>
      <c r="C195" s="76"/>
      <c r="D195" s="76"/>
      <c r="E195" s="76"/>
      <c r="F195" s="76"/>
      <c r="G195" s="76"/>
      <c r="H195" s="76"/>
      <c r="I195" s="76"/>
      <c r="J195" s="76"/>
      <c r="K195" s="198"/>
      <c r="L195" s="198"/>
      <c r="M195" s="76"/>
      <c r="N195" s="2"/>
      <c r="O195" s="2"/>
      <c r="P195" s="2"/>
      <c r="Q195" s="2"/>
      <c r="R195" s="2"/>
    </row>
    <row r="196" spans="1:18" ht="15">
      <c r="A196" s="2"/>
      <c r="B196" s="75"/>
      <c r="C196" s="76"/>
      <c r="D196" s="76"/>
      <c r="E196" s="76"/>
      <c r="F196" s="76"/>
      <c r="G196" s="76"/>
      <c r="H196" s="76"/>
      <c r="I196" s="76"/>
      <c r="J196" s="76"/>
      <c r="K196" s="198"/>
      <c r="L196" s="198"/>
      <c r="M196" s="76"/>
      <c r="N196" s="2"/>
      <c r="O196" s="2"/>
      <c r="P196" s="2"/>
      <c r="Q196" s="2"/>
      <c r="R196" s="2"/>
    </row>
    <row r="197" spans="1:18" ht="15">
      <c r="A197" s="2"/>
      <c r="B197" s="72"/>
      <c r="C197" s="76"/>
      <c r="D197" s="76"/>
      <c r="E197" s="76"/>
      <c r="F197" s="76"/>
      <c r="G197" s="76"/>
      <c r="H197" s="76"/>
      <c r="I197" s="76"/>
      <c r="J197" s="76"/>
      <c r="K197" s="198"/>
      <c r="L197" s="198"/>
      <c r="M197" s="76"/>
      <c r="N197" s="2"/>
      <c r="O197" s="2"/>
      <c r="P197" s="2"/>
      <c r="Q197" s="2"/>
      <c r="R197" s="2"/>
    </row>
    <row r="198" spans="1:18" ht="15.75">
      <c r="A198" s="78"/>
      <c r="B198" s="72"/>
      <c r="C198" s="76"/>
      <c r="D198" s="76"/>
      <c r="E198" s="76"/>
      <c r="F198" s="76"/>
      <c r="G198" s="76"/>
      <c r="H198" s="76"/>
      <c r="I198" s="76"/>
      <c r="J198" s="76"/>
      <c r="K198" s="198"/>
      <c r="L198" s="198"/>
      <c r="M198" s="77"/>
      <c r="N198" s="2"/>
      <c r="O198" s="2"/>
      <c r="P198" s="2"/>
      <c r="Q198" s="2"/>
      <c r="R198" s="2"/>
    </row>
    <row r="199" spans="1:18" ht="15.75">
      <c r="A199" s="78"/>
      <c r="B199" s="72"/>
      <c r="C199" s="76"/>
      <c r="D199" s="76"/>
      <c r="E199" s="76"/>
      <c r="F199" s="76"/>
      <c r="G199" s="76"/>
      <c r="H199" s="76"/>
      <c r="I199" s="76"/>
      <c r="J199" s="76"/>
      <c r="K199" s="198"/>
      <c r="L199" s="198"/>
      <c r="M199" s="77"/>
      <c r="N199" s="2"/>
      <c r="O199" s="2"/>
      <c r="P199" s="2"/>
      <c r="Q199" s="2"/>
      <c r="R199" s="2"/>
    </row>
    <row r="200" spans="1:18" ht="15.75">
      <c r="A200" s="78"/>
      <c r="B200" s="72"/>
      <c r="C200" s="76"/>
      <c r="D200" s="76"/>
      <c r="E200" s="76"/>
      <c r="F200" s="76"/>
      <c r="G200" s="76"/>
      <c r="H200" s="76"/>
      <c r="I200" s="76"/>
      <c r="J200" s="76"/>
      <c r="K200" s="198"/>
      <c r="L200" s="198"/>
      <c r="M200" s="77"/>
      <c r="N200" s="2"/>
      <c r="O200" s="2"/>
      <c r="P200" s="2"/>
      <c r="Q200" s="2"/>
      <c r="R200" s="2"/>
    </row>
    <row r="201" spans="1:18" ht="15">
      <c r="A201" s="2"/>
      <c r="B201" s="72"/>
      <c r="C201" s="76"/>
      <c r="D201" s="76"/>
      <c r="E201" s="76"/>
      <c r="F201" s="76"/>
      <c r="G201" s="76"/>
      <c r="H201" s="76"/>
      <c r="I201" s="76"/>
      <c r="J201" s="76"/>
      <c r="K201" s="198"/>
      <c r="L201" s="198"/>
      <c r="M201" s="77"/>
      <c r="N201" s="2"/>
      <c r="O201" s="2"/>
      <c r="P201" s="2"/>
      <c r="Q201" s="2"/>
      <c r="R201" s="2"/>
    </row>
    <row r="202" spans="1:18" ht="15.75">
      <c r="A202" s="78"/>
      <c r="B202" s="75"/>
      <c r="C202" s="76"/>
      <c r="D202" s="76"/>
      <c r="E202" s="76"/>
      <c r="F202" s="76"/>
      <c r="G202" s="76"/>
      <c r="H202" s="76"/>
      <c r="I202" s="76"/>
      <c r="J202" s="76"/>
      <c r="K202" s="198"/>
      <c r="L202" s="198"/>
      <c r="M202" s="77"/>
      <c r="N202" s="2"/>
      <c r="O202" s="2"/>
      <c r="P202" s="2"/>
      <c r="Q202" s="2"/>
      <c r="R202" s="2"/>
    </row>
    <row r="203" spans="1:18" ht="15">
      <c r="A203" s="2"/>
      <c r="B203" s="75"/>
      <c r="C203" s="76"/>
      <c r="D203" s="76"/>
      <c r="E203" s="76"/>
      <c r="F203" s="76"/>
      <c r="G203" s="76"/>
      <c r="H203" s="76"/>
      <c r="I203" s="76"/>
      <c r="J203" s="76"/>
      <c r="K203" s="198"/>
      <c r="L203" s="198"/>
      <c r="M203" s="77"/>
      <c r="N203" s="2"/>
      <c r="O203" s="2"/>
      <c r="P203" s="2"/>
      <c r="Q203" s="2"/>
      <c r="R203" s="2"/>
    </row>
    <row r="204" spans="1:18" ht="15">
      <c r="A204" s="2"/>
      <c r="B204" s="75"/>
      <c r="C204" s="76"/>
      <c r="D204" s="76"/>
      <c r="E204" s="76"/>
      <c r="F204" s="76"/>
      <c r="G204" s="76"/>
      <c r="H204" s="76"/>
      <c r="I204" s="76"/>
      <c r="J204" s="76"/>
      <c r="K204" s="198"/>
      <c r="L204" s="198"/>
      <c r="M204" s="77"/>
      <c r="N204" s="2"/>
      <c r="O204" s="2"/>
      <c r="P204" s="2"/>
      <c r="Q204" s="2"/>
      <c r="R204" s="2"/>
    </row>
    <row r="205" spans="1:18" ht="15">
      <c r="A205" s="2"/>
      <c r="B205" s="79"/>
      <c r="C205" s="76"/>
      <c r="D205" s="76"/>
      <c r="E205" s="76"/>
      <c r="F205" s="76"/>
      <c r="G205" s="76"/>
      <c r="H205" s="76"/>
      <c r="I205" s="76"/>
      <c r="J205" s="76"/>
      <c r="K205" s="198"/>
      <c r="L205" s="198"/>
      <c r="M205" s="77"/>
      <c r="N205" s="2"/>
      <c r="O205" s="2"/>
      <c r="P205" s="2"/>
      <c r="Q205" s="2"/>
      <c r="R205" s="2"/>
    </row>
    <row r="206" spans="1:18" ht="15">
      <c r="A206" s="2"/>
      <c r="B206" s="79"/>
      <c r="C206" s="76"/>
      <c r="D206" s="76"/>
      <c r="E206" s="76"/>
      <c r="F206" s="76"/>
      <c r="G206" s="76"/>
      <c r="H206" s="76"/>
      <c r="I206" s="76"/>
      <c r="J206" s="76"/>
      <c r="K206" s="198"/>
      <c r="L206" s="198"/>
      <c r="M206" s="77"/>
      <c r="N206" s="2"/>
      <c r="O206" s="2"/>
      <c r="P206" s="2"/>
      <c r="Q206" s="2"/>
      <c r="R206" s="2"/>
    </row>
    <row r="207" spans="1:18" ht="15">
      <c r="A207" s="2"/>
      <c r="B207" s="79"/>
      <c r="C207" s="76"/>
      <c r="D207" s="76"/>
      <c r="E207" s="76"/>
      <c r="F207" s="76"/>
      <c r="G207" s="76"/>
      <c r="H207" s="76"/>
      <c r="I207" s="76"/>
      <c r="J207" s="76"/>
      <c r="K207" s="198"/>
      <c r="L207" s="198"/>
      <c r="M207" s="77"/>
      <c r="N207" s="2"/>
      <c r="O207" s="2"/>
      <c r="P207" s="2"/>
      <c r="Q207" s="2"/>
      <c r="R207" s="2"/>
    </row>
    <row r="208" spans="1:18" ht="15">
      <c r="A208" s="2"/>
      <c r="B208" s="79"/>
      <c r="C208" s="76"/>
      <c r="D208" s="76"/>
      <c r="E208" s="76"/>
      <c r="F208" s="76"/>
      <c r="G208" s="76"/>
      <c r="H208" s="76"/>
      <c r="I208" s="76"/>
      <c r="J208" s="76"/>
      <c r="K208" s="198"/>
      <c r="L208" s="198"/>
      <c r="M208" s="77"/>
      <c r="N208" s="2"/>
      <c r="O208" s="2"/>
      <c r="P208" s="2"/>
      <c r="Q208" s="2"/>
      <c r="R208" s="2"/>
    </row>
    <row r="209" spans="1:18" ht="15">
      <c r="A209" s="2"/>
      <c r="B209" s="79"/>
      <c r="C209" s="76"/>
      <c r="D209" s="76"/>
      <c r="E209" s="76"/>
      <c r="F209" s="76"/>
      <c r="G209" s="76"/>
      <c r="H209" s="76"/>
      <c r="I209" s="76"/>
      <c r="J209" s="76"/>
      <c r="K209" s="198"/>
      <c r="L209" s="198"/>
      <c r="M209" s="77"/>
      <c r="N209" s="2"/>
      <c r="O209" s="2"/>
      <c r="P209" s="2"/>
      <c r="Q209" s="2"/>
      <c r="R209" s="2"/>
    </row>
    <row r="210" spans="1:18" ht="15">
      <c r="A210" s="2"/>
      <c r="B210" s="79"/>
      <c r="C210" s="76"/>
      <c r="D210" s="76"/>
      <c r="E210" s="76"/>
      <c r="F210" s="76"/>
      <c r="G210" s="76"/>
      <c r="H210" s="76"/>
      <c r="I210" s="76"/>
      <c r="J210" s="76"/>
      <c r="K210" s="198"/>
      <c r="L210" s="198"/>
      <c r="M210" s="77"/>
      <c r="N210" s="2"/>
      <c r="O210" s="2"/>
      <c r="P210" s="2"/>
      <c r="Q210" s="2"/>
      <c r="R210" s="2"/>
    </row>
    <row r="211" spans="1:18" ht="15">
      <c r="A211" s="2"/>
      <c r="B211" s="79"/>
      <c r="C211" s="76"/>
      <c r="D211" s="76"/>
      <c r="E211" s="76"/>
      <c r="F211" s="76"/>
      <c r="G211" s="76"/>
      <c r="H211" s="76"/>
      <c r="I211" s="76"/>
      <c r="J211" s="76"/>
      <c r="K211" s="198"/>
      <c r="L211" s="198"/>
      <c r="M211" s="77"/>
      <c r="N211" s="2"/>
      <c r="O211" s="2"/>
      <c r="P211" s="2"/>
      <c r="Q211" s="2"/>
      <c r="R211" s="2"/>
    </row>
    <row r="212" spans="1:18" ht="15">
      <c r="A212" s="2"/>
      <c r="B212" s="79"/>
      <c r="C212" s="76"/>
      <c r="D212" s="76"/>
      <c r="E212" s="76"/>
      <c r="F212" s="76"/>
      <c r="G212" s="76"/>
      <c r="H212" s="76"/>
      <c r="I212" s="76"/>
      <c r="J212" s="76"/>
      <c r="K212" s="198"/>
      <c r="L212" s="198"/>
      <c r="M212" s="77"/>
      <c r="N212" s="2"/>
      <c r="O212" s="2"/>
      <c r="P212" s="2"/>
      <c r="Q212" s="2"/>
      <c r="R212" s="2"/>
    </row>
    <row r="213" spans="1:18" ht="15">
      <c r="A213" s="2"/>
      <c r="B213" s="79"/>
      <c r="C213" s="76"/>
      <c r="D213" s="76"/>
      <c r="E213" s="76"/>
      <c r="F213" s="76"/>
      <c r="G213" s="76"/>
      <c r="H213" s="76"/>
      <c r="I213" s="76"/>
      <c r="J213" s="76"/>
      <c r="K213" s="198"/>
      <c r="L213" s="198"/>
      <c r="M213" s="77"/>
      <c r="N213" s="2"/>
      <c r="O213" s="2"/>
      <c r="P213" s="2"/>
      <c r="Q213" s="2"/>
      <c r="R213" s="2"/>
    </row>
    <row r="214" spans="1:18" ht="15">
      <c r="A214" s="2"/>
      <c r="B214" s="2"/>
      <c r="C214" s="76"/>
      <c r="D214" s="76"/>
      <c r="E214" s="76"/>
      <c r="F214" s="76"/>
      <c r="G214" s="76"/>
      <c r="H214" s="76"/>
      <c r="I214" s="76"/>
      <c r="J214" s="76"/>
      <c r="K214" s="198"/>
      <c r="L214" s="198"/>
      <c r="M214" s="77"/>
      <c r="N214" s="2"/>
      <c r="O214" s="2"/>
      <c r="P214" s="2"/>
      <c r="Q214" s="2"/>
      <c r="R214" s="2"/>
    </row>
    <row r="215" spans="1:18" ht="15.75">
      <c r="A215" s="78"/>
      <c r="B215" s="2"/>
      <c r="C215" s="76"/>
      <c r="D215" s="76"/>
      <c r="E215" s="76"/>
      <c r="F215" s="76"/>
      <c r="G215" s="76"/>
      <c r="H215" s="76"/>
      <c r="I215" s="76"/>
      <c r="J215" s="76"/>
      <c r="K215" s="198"/>
      <c r="L215" s="198"/>
      <c r="M215" s="77"/>
      <c r="N215" s="2"/>
      <c r="O215" s="2"/>
      <c r="P215" s="2"/>
      <c r="Q215" s="2"/>
      <c r="R215" s="2"/>
    </row>
    <row r="216" spans="1:18" ht="15">
      <c r="A216" s="2"/>
      <c r="B216" s="2"/>
      <c r="C216" s="76"/>
      <c r="D216" s="76"/>
      <c r="E216" s="76"/>
      <c r="F216" s="76"/>
      <c r="G216" s="76"/>
      <c r="H216" s="76"/>
      <c r="I216" s="76"/>
      <c r="J216" s="76"/>
      <c r="K216" s="198"/>
      <c r="L216" s="198"/>
      <c r="M216" s="77"/>
      <c r="N216" s="2"/>
      <c r="O216" s="2"/>
      <c r="P216" s="2"/>
      <c r="Q216" s="2"/>
      <c r="R216" s="2"/>
    </row>
    <row r="217" spans="1:18" ht="15">
      <c r="A217" s="2"/>
      <c r="B217" s="2"/>
      <c r="C217" s="76"/>
      <c r="D217" s="76"/>
      <c r="E217" s="76"/>
      <c r="F217" s="76"/>
      <c r="G217" s="76"/>
      <c r="H217" s="76"/>
      <c r="I217" s="76"/>
      <c r="J217" s="76"/>
      <c r="K217" s="198"/>
      <c r="L217" s="198"/>
      <c r="M217" s="77"/>
      <c r="N217" s="2"/>
      <c r="O217" s="2"/>
      <c r="P217" s="2"/>
      <c r="Q217" s="2"/>
      <c r="R217" s="2"/>
    </row>
    <row r="218" spans="1:18" ht="15.75">
      <c r="A218" s="78"/>
      <c r="B218" s="2"/>
      <c r="C218" s="76"/>
      <c r="D218" s="76"/>
      <c r="E218" s="76"/>
      <c r="F218" s="76"/>
      <c r="G218" s="76"/>
      <c r="H218" s="76"/>
      <c r="I218" s="76"/>
      <c r="J218" s="76"/>
      <c r="K218" s="198"/>
      <c r="L218" s="198"/>
      <c r="M218" s="77"/>
      <c r="N218" s="2"/>
      <c r="O218" s="2"/>
      <c r="P218" s="2"/>
      <c r="Q218" s="2"/>
      <c r="R218" s="2"/>
    </row>
    <row r="219" spans="1:18" ht="15.75">
      <c r="A219" s="78"/>
      <c r="B219" s="2"/>
      <c r="C219" s="76"/>
      <c r="D219" s="76"/>
      <c r="E219" s="76"/>
      <c r="F219" s="76"/>
      <c r="G219" s="76"/>
      <c r="H219" s="76"/>
      <c r="I219" s="76"/>
      <c r="J219" s="76"/>
      <c r="K219" s="198"/>
      <c r="L219" s="198"/>
      <c r="M219" s="77"/>
      <c r="N219" s="2"/>
      <c r="O219" s="2"/>
      <c r="P219" s="2"/>
      <c r="Q219" s="2"/>
      <c r="R219" s="2"/>
    </row>
    <row r="220" spans="1:18" ht="15.75">
      <c r="A220" s="78"/>
      <c r="B220" s="79"/>
      <c r="C220" s="76"/>
      <c r="D220" s="76"/>
      <c r="E220" s="76"/>
      <c r="F220" s="76"/>
      <c r="G220" s="76"/>
      <c r="H220" s="76"/>
      <c r="I220" s="76"/>
      <c r="J220" s="76"/>
      <c r="K220" s="198"/>
      <c r="L220" s="198"/>
      <c r="M220" s="77"/>
      <c r="N220" s="2"/>
      <c r="O220" s="2"/>
      <c r="P220" s="2"/>
      <c r="Q220" s="2"/>
      <c r="R220" s="2"/>
    </row>
    <row r="221" spans="1:18" ht="15">
      <c r="A221" s="2"/>
      <c r="B221" s="79"/>
      <c r="C221" s="76"/>
      <c r="D221" s="76"/>
      <c r="E221" s="76"/>
      <c r="F221" s="76"/>
      <c r="G221" s="76"/>
      <c r="H221" s="76"/>
      <c r="I221" s="76"/>
      <c r="J221" s="76"/>
      <c r="K221" s="198"/>
      <c r="L221" s="198"/>
      <c r="M221" s="77"/>
      <c r="N221" s="2"/>
      <c r="O221" s="2"/>
      <c r="P221" s="2"/>
      <c r="Q221" s="2"/>
      <c r="R221" s="2"/>
    </row>
    <row r="222" spans="1:18" ht="15">
      <c r="A222" s="2"/>
      <c r="B222" s="79"/>
      <c r="C222" s="76"/>
      <c r="D222" s="76"/>
      <c r="E222" s="76"/>
      <c r="F222" s="76"/>
      <c r="G222" s="76"/>
      <c r="H222" s="76"/>
      <c r="I222" s="76"/>
      <c r="J222" s="76"/>
      <c r="K222" s="198"/>
      <c r="L222" s="198"/>
      <c r="M222" s="77"/>
      <c r="N222" s="2"/>
      <c r="O222" s="2"/>
      <c r="P222" s="2"/>
      <c r="Q222" s="2"/>
      <c r="R222" s="2"/>
    </row>
    <row r="223" spans="1:18" ht="15">
      <c r="A223" s="2"/>
      <c r="B223" s="79"/>
      <c r="C223" s="76"/>
      <c r="D223" s="76"/>
      <c r="E223" s="76"/>
      <c r="F223" s="76"/>
      <c r="G223" s="76"/>
      <c r="H223" s="76"/>
      <c r="I223" s="76"/>
      <c r="J223" s="76"/>
      <c r="K223" s="198"/>
      <c r="L223" s="198"/>
      <c r="M223" s="77"/>
      <c r="N223" s="2"/>
      <c r="O223" s="2"/>
      <c r="P223" s="2"/>
      <c r="Q223" s="2"/>
      <c r="R223" s="2"/>
    </row>
    <row r="224" spans="1:18" ht="15">
      <c r="A224" s="2"/>
      <c r="B224" s="79"/>
      <c r="C224" s="76"/>
      <c r="D224" s="76"/>
      <c r="E224" s="76"/>
      <c r="F224" s="76"/>
      <c r="G224" s="76"/>
      <c r="H224" s="76"/>
      <c r="I224" s="76"/>
      <c r="J224" s="76"/>
      <c r="K224" s="198"/>
      <c r="L224" s="198"/>
      <c r="M224" s="77"/>
      <c r="N224" s="2"/>
      <c r="O224" s="2"/>
      <c r="P224" s="2"/>
      <c r="Q224" s="2"/>
      <c r="R224" s="2"/>
    </row>
    <row r="225" spans="1:18" ht="15">
      <c r="A225" s="2"/>
      <c r="B225" s="79"/>
      <c r="C225" s="76"/>
      <c r="D225" s="76"/>
      <c r="E225" s="76"/>
      <c r="F225" s="76"/>
      <c r="G225" s="76"/>
      <c r="H225" s="76"/>
      <c r="I225" s="76"/>
      <c r="J225" s="76"/>
      <c r="K225" s="198"/>
      <c r="L225" s="198"/>
      <c r="M225" s="77"/>
      <c r="N225" s="2"/>
      <c r="O225" s="2"/>
      <c r="P225" s="2"/>
      <c r="Q225" s="2"/>
      <c r="R225" s="2"/>
    </row>
    <row r="226" spans="1:18" ht="15">
      <c r="A226" s="2"/>
      <c r="B226" s="79"/>
      <c r="C226" s="76"/>
      <c r="D226" s="76"/>
      <c r="E226" s="76"/>
      <c r="F226" s="76"/>
      <c r="G226" s="76"/>
      <c r="H226" s="76"/>
      <c r="I226" s="76"/>
      <c r="J226" s="76"/>
      <c r="K226" s="198"/>
      <c r="L226" s="198"/>
      <c r="M226" s="77"/>
      <c r="N226" s="2"/>
      <c r="O226" s="2"/>
      <c r="P226" s="2"/>
      <c r="Q226" s="2"/>
      <c r="R226" s="2"/>
    </row>
    <row r="227" spans="1:18" ht="15">
      <c r="A227" s="2"/>
      <c r="B227" s="79"/>
      <c r="C227" s="76"/>
      <c r="D227" s="76"/>
      <c r="E227" s="76"/>
      <c r="F227" s="76"/>
      <c r="G227" s="76"/>
      <c r="H227" s="76"/>
      <c r="I227" s="76"/>
      <c r="J227" s="76"/>
      <c r="K227" s="198"/>
      <c r="L227" s="198"/>
      <c r="M227" s="77"/>
      <c r="N227" s="2"/>
      <c r="O227" s="2"/>
      <c r="P227" s="2"/>
      <c r="Q227" s="2"/>
      <c r="R227" s="2"/>
    </row>
    <row r="228" spans="1:18" ht="15">
      <c r="A228" s="2"/>
      <c r="B228" s="79"/>
      <c r="C228" s="76"/>
      <c r="D228" s="76"/>
      <c r="E228" s="76"/>
      <c r="F228" s="76"/>
      <c r="G228" s="76"/>
      <c r="H228" s="76"/>
      <c r="I228" s="76"/>
      <c r="J228" s="76"/>
      <c r="K228" s="198"/>
      <c r="L228" s="198"/>
      <c r="M228" s="77"/>
      <c r="N228" s="2"/>
      <c r="O228" s="2"/>
      <c r="P228" s="2"/>
      <c r="Q228" s="2"/>
      <c r="R228" s="2"/>
    </row>
    <row r="229" spans="1:18" ht="15">
      <c r="A229" s="2"/>
      <c r="B229" s="79"/>
      <c r="C229" s="76"/>
      <c r="D229" s="76"/>
      <c r="E229" s="76"/>
      <c r="F229" s="76"/>
      <c r="G229" s="76"/>
      <c r="H229" s="76"/>
      <c r="I229" s="76"/>
      <c r="J229" s="76"/>
      <c r="K229" s="198"/>
      <c r="L229" s="198"/>
      <c r="M229" s="77"/>
      <c r="N229" s="2"/>
      <c r="O229" s="2"/>
      <c r="P229" s="2"/>
      <c r="Q229" s="2"/>
      <c r="R229" s="2"/>
    </row>
    <row r="230" spans="1:18" ht="15">
      <c r="A230" s="2"/>
      <c r="B230" s="79"/>
      <c r="C230" s="76"/>
      <c r="D230" s="76"/>
      <c r="E230" s="76"/>
      <c r="F230" s="76"/>
      <c r="G230" s="76"/>
      <c r="H230" s="76"/>
      <c r="I230" s="76"/>
      <c r="J230" s="76"/>
      <c r="K230" s="198"/>
      <c r="L230" s="198"/>
      <c r="M230" s="77"/>
      <c r="N230" s="2"/>
      <c r="O230" s="2"/>
      <c r="P230" s="2"/>
      <c r="Q230" s="2"/>
      <c r="R230" s="2"/>
    </row>
    <row r="231" spans="1:18" ht="15">
      <c r="A231" s="2"/>
      <c r="B231" s="79"/>
      <c r="C231" s="76"/>
      <c r="D231" s="76"/>
      <c r="E231" s="76"/>
      <c r="F231" s="76"/>
      <c r="G231" s="76"/>
      <c r="H231" s="76"/>
      <c r="I231" s="76"/>
      <c r="J231" s="76"/>
      <c r="K231" s="198"/>
      <c r="L231" s="198"/>
      <c r="M231" s="77"/>
      <c r="N231" s="2"/>
      <c r="O231" s="2"/>
      <c r="P231" s="2"/>
      <c r="Q231" s="2"/>
      <c r="R231" s="2"/>
    </row>
    <row r="232" spans="1:18" ht="15">
      <c r="A232" s="2"/>
      <c r="B232" s="2"/>
      <c r="C232" s="76"/>
      <c r="D232" s="76"/>
      <c r="E232" s="76"/>
      <c r="F232" s="76"/>
      <c r="G232" s="76"/>
      <c r="H232" s="76"/>
      <c r="I232" s="76"/>
      <c r="J232" s="76"/>
      <c r="K232" s="198"/>
      <c r="L232" s="198"/>
      <c r="M232" s="77"/>
      <c r="N232" s="2"/>
      <c r="O232" s="2"/>
      <c r="P232" s="2"/>
      <c r="Q232" s="2"/>
      <c r="R232" s="2"/>
    </row>
    <row r="233" spans="1:18" ht="15.75">
      <c r="A233" s="78"/>
      <c r="B233" s="2"/>
      <c r="C233" s="76"/>
      <c r="D233" s="76"/>
      <c r="E233" s="76"/>
      <c r="F233" s="76"/>
      <c r="G233" s="76"/>
      <c r="H233" s="76"/>
      <c r="I233" s="76"/>
      <c r="J233" s="76"/>
      <c r="K233" s="198"/>
      <c r="L233" s="198"/>
      <c r="M233" s="77"/>
      <c r="N233" s="2"/>
      <c r="O233" s="2"/>
      <c r="P233" s="2"/>
      <c r="Q233" s="2"/>
      <c r="R233" s="2"/>
    </row>
    <row r="234" spans="1:18" ht="15">
      <c r="A234" s="2"/>
      <c r="B234" s="2"/>
      <c r="C234" s="76"/>
      <c r="D234" s="76"/>
      <c r="E234" s="76"/>
      <c r="F234" s="76"/>
      <c r="G234" s="76"/>
      <c r="H234" s="76"/>
      <c r="I234" s="76"/>
      <c r="J234" s="76"/>
      <c r="K234" s="198"/>
      <c r="L234" s="198"/>
      <c r="M234" s="77"/>
      <c r="N234" s="2"/>
      <c r="O234" s="2"/>
      <c r="P234" s="2"/>
      <c r="Q234" s="2"/>
      <c r="R234" s="2"/>
    </row>
    <row r="235" spans="1:18" ht="15">
      <c r="A235" s="2"/>
      <c r="B235" s="2"/>
      <c r="C235" s="76"/>
      <c r="D235" s="76"/>
      <c r="E235" s="76"/>
      <c r="F235" s="76"/>
      <c r="G235" s="76"/>
      <c r="H235" s="76"/>
      <c r="I235" s="76"/>
      <c r="J235" s="76"/>
      <c r="K235" s="198"/>
      <c r="L235" s="198"/>
      <c r="M235" s="77"/>
      <c r="N235" s="2"/>
      <c r="O235" s="2"/>
      <c r="P235" s="2"/>
      <c r="Q235" s="2"/>
      <c r="R235" s="2"/>
    </row>
    <row r="236" spans="1:18" ht="15.75">
      <c r="A236" s="78"/>
      <c r="B236" s="79"/>
      <c r="C236" s="76"/>
      <c r="D236" s="76"/>
      <c r="E236" s="76"/>
      <c r="F236" s="76"/>
      <c r="G236" s="76"/>
      <c r="H236" s="76"/>
      <c r="I236" s="76"/>
      <c r="J236" s="76"/>
      <c r="K236" s="198"/>
      <c r="L236" s="198"/>
      <c r="M236" s="77"/>
      <c r="N236" s="2"/>
      <c r="O236" s="2"/>
      <c r="P236" s="2"/>
      <c r="Q236" s="2"/>
      <c r="R236" s="2"/>
    </row>
    <row r="237" spans="1:18" ht="15">
      <c r="A237" s="2"/>
      <c r="B237" s="79"/>
      <c r="C237" s="76"/>
      <c r="D237" s="76"/>
      <c r="E237" s="76"/>
      <c r="F237" s="76"/>
      <c r="G237" s="76"/>
      <c r="H237" s="76"/>
      <c r="I237" s="76"/>
      <c r="J237" s="76"/>
      <c r="K237" s="198"/>
      <c r="L237" s="198"/>
      <c r="M237" s="77"/>
      <c r="N237" s="2"/>
      <c r="O237" s="2"/>
      <c r="P237" s="2"/>
      <c r="Q237" s="2"/>
      <c r="R237" s="2"/>
    </row>
    <row r="238" spans="1:18" ht="15">
      <c r="A238" s="2"/>
      <c r="B238" s="79"/>
      <c r="C238" s="76"/>
      <c r="D238" s="76"/>
      <c r="E238" s="76"/>
      <c r="F238" s="76"/>
      <c r="G238" s="76"/>
      <c r="H238" s="76"/>
      <c r="I238" s="76"/>
      <c r="J238" s="76"/>
      <c r="K238" s="198"/>
      <c r="L238" s="198"/>
      <c r="M238" s="77"/>
      <c r="N238" s="2"/>
      <c r="O238" s="2"/>
      <c r="P238" s="2"/>
      <c r="Q238" s="2"/>
      <c r="R238" s="2"/>
    </row>
    <row r="239" spans="1:18" ht="15">
      <c r="A239" s="2"/>
      <c r="B239" s="2"/>
      <c r="C239" s="76"/>
      <c r="D239" s="76"/>
      <c r="E239" s="76"/>
      <c r="F239" s="76"/>
      <c r="G239" s="76"/>
      <c r="H239" s="76"/>
      <c r="I239" s="76"/>
      <c r="J239" s="76"/>
      <c r="K239" s="198"/>
      <c r="L239" s="198"/>
      <c r="M239" s="77"/>
      <c r="N239" s="2"/>
      <c r="O239" s="2"/>
      <c r="P239" s="2"/>
      <c r="Q239" s="2"/>
      <c r="R239" s="2"/>
    </row>
    <row r="240" spans="1:18" ht="15">
      <c r="A240" s="2"/>
      <c r="B240" s="2"/>
      <c r="C240" s="76"/>
      <c r="D240" s="76"/>
      <c r="E240" s="76"/>
      <c r="F240" s="76"/>
      <c r="G240" s="76"/>
      <c r="H240" s="76"/>
      <c r="I240" s="76"/>
      <c r="J240" s="76"/>
      <c r="K240" s="198"/>
      <c r="L240" s="198"/>
      <c r="M240" s="77"/>
      <c r="N240" s="2"/>
      <c r="O240" s="2"/>
      <c r="P240" s="2"/>
      <c r="Q240" s="2"/>
      <c r="R240" s="2"/>
    </row>
    <row r="241" spans="1:18" ht="15">
      <c r="A241" s="2"/>
      <c r="B241" s="2"/>
      <c r="C241" s="76"/>
      <c r="D241" s="76"/>
      <c r="E241" s="76"/>
      <c r="F241" s="76"/>
      <c r="G241" s="76"/>
      <c r="H241" s="76"/>
      <c r="I241" s="76"/>
      <c r="J241" s="76"/>
      <c r="K241" s="198"/>
      <c r="L241" s="198"/>
      <c r="M241" s="77"/>
      <c r="N241" s="2"/>
      <c r="O241" s="2"/>
      <c r="P241" s="2"/>
      <c r="Q241" s="2"/>
      <c r="R241" s="2"/>
    </row>
    <row r="242" spans="1:18" ht="15.75">
      <c r="A242" s="78"/>
      <c r="B242" s="2"/>
      <c r="C242" s="76"/>
      <c r="D242" s="76"/>
      <c r="E242" s="76"/>
      <c r="F242" s="76"/>
      <c r="G242" s="76"/>
      <c r="H242" s="76"/>
      <c r="I242" s="76"/>
      <c r="J242" s="76"/>
      <c r="K242" s="198"/>
      <c r="L242" s="198"/>
      <c r="M242" s="77"/>
      <c r="N242" s="2"/>
      <c r="O242" s="2"/>
      <c r="P242" s="2"/>
      <c r="Q242" s="2"/>
      <c r="R242" s="2"/>
    </row>
    <row r="243" spans="1:18" ht="15">
      <c r="A243" s="2"/>
      <c r="B243" s="2"/>
      <c r="C243" s="76"/>
      <c r="D243" s="76"/>
      <c r="E243" s="76"/>
      <c r="F243" s="76"/>
      <c r="G243" s="76"/>
      <c r="H243" s="76"/>
      <c r="I243" s="76"/>
      <c r="J243" s="76"/>
      <c r="K243" s="198"/>
      <c r="L243" s="198"/>
      <c r="M243" s="77"/>
      <c r="N243" s="2"/>
      <c r="O243" s="2"/>
      <c r="P243" s="2"/>
      <c r="Q243" s="2"/>
      <c r="R243" s="2"/>
    </row>
    <row r="244" spans="1:18" ht="15">
      <c r="A244" s="2"/>
      <c r="B244" s="2"/>
      <c r="C244" s="76"/>
      <c r="D244" s="76"/>
      <c r="E244" s="76"/>
      <c r="F244" s="76"/>
      <c r="G244" s="76"/>
      <c r="H244" s="76"/>
      <c r="I244" s="76"/>
      <c r="J244" s="76"/>
      <c r="K244" s="198"/>
      <c r="L244" s="198"/>
      <c r="M244" s="77"/>
      <c r="N244" s="2"/>
      <c r="O244" s="2"/>
      <c r="P244" s="2"/>
      <c r="Q244" s="2"/>
      <c r="R244" s="2"/>
    </row>
    <row r="245" spans="1:18" ht="15.75">
      <c r="A245" s="78"/>
      <c r="B245" s="78"/>
      <c r="C245" s="76"/>
      <c r="D245" s="76"/>
      <c r="E245" s="76"/>
      <c r="F245" s="76"/>
      <c r="G245" s="76"/>
      <c r="H245" s="76"/>
      <c r="I245" s="76"/>
      <c r="J245" s="76"/>
      <c r="K245" s="198"/>
      <c r="L245" s="198"/>
      <c r="M245" s="77"/>
      <c r="N245" s="2"/>
      <c r="O245" s="2"/>
      <c r="P245" s="2"/>
      <c r="Q245" s="2"/>
      <c r="R245" s="2"/>
    </row>
    <row r="246" spans="1:18" ht="15">
      <c r="A246" s="2"/>
      <c r="B246" s="2"/>
      <c r="C246" s="76"/>
      <c r="D246" s="76"/>
      <c r="E246" s="76"/>
      <c r="F246" s="76"/>
      <c r="G246" s="76"/>
      <c r="H246" s="76"/>
      <c r="I246" s="76"/>
      <c r="J246" s="76"/>
      <c r="K246" s="198"/>
      <c r="L246" s="198"/>
      <c r="M246" s="77"/>
      <c r="N246" s="2"/>
      <c r="O246" s="2"/>
      <c r="P246" s="2"/>
      <c r="Q246" s="2"/>
      <c r="R246" s="2"/>
    </row>
    <row r="247" spans="1:18" ht="15">
      <c r="A247" s="2"/>
      <c r="B247" s="2"/>
      <c r="C247" s="76"/>
      <c r="D247" s="76"/>
      <c r="E247" s="76"/>
      <c r="F247" s="76"/>
      <c r="G247" s="76"/>
      <c r="H247" s="76"/>
      <c r="I247" s="76"/>
      <c r="J247" s="76"/>
      <c r="K247" s="198"/>
      <c r="L247" s="198"/>
      <c r="M247" s="77"/>
      <c r="N247" s="2"/>
      <c r="O247" s="2"/>
      <c r="P247" s="2"/>
      <c r="Q247" s="2"/>
      <c r="R247" s="2"/>
    </row>
    <row r="248" spans="1:18" ht="15">
      <c r="A248" s="2"/>
      <c r="B248" s="2"/>
      <c r="C248" s="76"/>
      <c r="D248" s="76"/>
      <c r="E248" s="76"/>
      <c r="F248" s="76"/>
      <c r="G248" s="76"/>
      <c r="H248" s="76"/>
      <c r="I248" s="76"/>
      <c r="J248" s="76"/>
      <c r="K248" s="198"/>
      <c r="L248" s="198"/>
      <c r="M248" s="77"/>
      <c r="N248" s="2"/>
      <c r="O248" s="2"/>
      <c r="P248" s="2"/>
      <c r="Q248" s="2"/>
      <c r="R248" s="2"/>
    </row>
    <row r="249" spans="1:18" ht="15">
      <c r="A249" s="2"/>
      <c r="B249" s="2"/>
      <c r="C249" s="76"/>
      <c r="D249" s="76"/>
      <c r="E249" s="76"/>
      <c r="F249" s="76"/>
      <c r="G249" s="76"/>
      <c r="H249" s="76"/>
      <c r="I249" s="76"/>
      <c r="J249" s="76"/>
      <c r="K249" s="198"/>
      <c r="L249" s="198"/>
      <c r="M249" s="77"/>
      <c r="N249" s="2"/>
      <c r="O249" s="2"/>
      <c r="P249" s="2"/>
      <c r="Q249" s="2"/>
      <c r="R249" s="2"/>
    </row>
    <row r="250" spans="1:18" ht="15">
      <c r="A250" s="2"/>
      <c r="B250" s="2"/>
      <c r="C250" s="76"/>
      <c r="D250" s="76"/>
      <c r="E250" s="76"/>
      <c r="F250" s="76"/>
      <c r="G250" s="76"/>
      <c r="H250" s="76"/>
      <c r="I250" s="76"/>
      <c r="J250" s="76"/>
      <c r="K250" s="198"/>
      <c r="L250" s="198"/>
      <c r="M250" s="77"/>
      <c r="N250" s="2"/>
      <c r="O250" s="2"/>
      <c r="P250" s="2"/>
      <c r="Q250" s="2"/>
      <c r="R250" s="2"/>
    </row>
    <row r="251" spans="1:18" ht="15">
      <c r="A251" s="2"/>
      <c r="B251" s="2"/>
      <c r="C251" s="76"/>
      <c r="D251" s="76"/>
      <c r="E251" s="76"/>
      <c r="F251" s="76"/>
      <c r="G251" s="76"/>
      <c r="H251" s="76"/>
      <c r="I251" s="76"/>
      <c r="J251" s="76"/>
      <c r="K251" s="198"/>
      <c r="L251" s="198"/>
      <c r="M251" s="77"/>
      <c r="N251" s="2"/>
      <c r="O251" s="2"/>
      <c r="P251" s="2"/>
      <c r="Q251" s="2"/>
      <c r="R251" s="2"/>
    </row>
    <row r="252" spans="1:18" ht="15">
      <c r="A252" s="2"/>
      <c r="B252" s="2"/>
      <c r="C252" s="76"/>
      <c r="D252" s="76"/>
      <c r="E252" s="76"/>
      <c r="F252" s="76"/>
      <c r="G252" s="76"/>
      <c r="H252" s="76"/>
      <c r="I252" s="76"/>
      <c r="J252" s="76"/>
      <c r="K252" s="198"/>
      <c r="L252" s="198"/>
      <c r="M252" s="77"/>
      <c r="N252" s="2"/>
      <c r="O252" s="2"/>
      <c r="P252" s="2"/>
      <c r="Q252" s="2"/>
      <c r="R252" s="2"/>
    </row>
    <row r="253" spans="1:18" ht="15">
      <c r="A253" s="2"/>
      <c r="B253" s="2"/>
      <c r="C253" s="76"/>
      <c r="D253" s="76"/>
      <c r="E253" s="76"/>
      <c r="F253" s="76"/>
      <c r="G253" s="76"/>
      <c r="H253" s="76"/>
      <c r="I253" s="76"/>
      <c r="J253" s="76"/>
      <c r="K253" s="198"/>
      <c r="L253" s="198"/>
      <c r="M253" s="77"/>
      <c r="N253" s="2"/>
      <c r="O253" s="2"/>
      <c r="P253" s="2"/>
      <c r="Q253" s="2"/>
      <c r="R253" s="2"/>
    </row>
    <row r="254" spans="1:18" ht="15">
      <c r="A254" s="2"/>
      <c r="B254" s="2"/>
      <c r="C254" s="76"/>
      <c r="D254" s="76"/>
      <c r="E254" s="76"/>
      <c r="F254" s="76"/>
      <c r="G254" s="76"/>
      <c r="H254" s="76"/>
      <c r="I254" s="76"/>
      <c r="J254" s="76"/>
      <c r="K254" s="198"/>
      <c r="L254" s="198"/>
      <c r="M254" s="77"/>
      <c r="N254" s="2"/>
      <c r="O254" s="2"/>
      <c r="P254" s="2"/>
      <c r="Q254" s="2"/>
      <c r="R254" s="2"/>
    </row>
    <row r="255" spans="1:18" ht="15">
      <c r="A255" s="2"/>
      <c r="B255" s="2"/>
      <c r="C255" s="76"/>
      <c r="D255" s="76"/>
      <c r="E255" s="76"/>
      <c r="F255" s="76"/>
      <c r="G255" s="76"/>
      <c r="H255" s="76"/>
      <c r="I255" s="76"/>
      <c r="J255" s="76"/>
      <c r="K255" s="198"/>
      <c r="L255" s="198"/>
      <c r="M255" s="77"/>
      <c r="N255" s="2"/>
      <c r="O255" s="2"/>
      <c r="P255" s="2"/>
      <c r="Q255" s="2"/>
      <c r="R255" s="2"/>
    </row>
    <row r="256" spans="1:18" ht="15">
      <c r="A256" s="2"/>
      <c r="B256" s="2"/>
      <c r="C256" s="76"/>
      <c r="D256" s="76"/>
      <c r="E256" s="76"/>
      <c r="F256" s="76"/>
      <c r="G256" s="76"/>
      <c r="H256" s="76"/>
      <c r="I256" s="76"/>
      <c r="J256" s="76"/>
      <c r="K256" s="198"/>
      <c r="L256" s="198"/>
      <c r="M256" s="77"/>
      <c r="N256" s="2"/>
      <c r="O256" s="2"/>
      <c r="P256" s="2"/>
      <c r="Q256" s="2"/>
      <c r="R256" s="2"/>
    </row>
    <row r="257" spans="1:18" ht="15">
      <c r="A257" s="2"/>
      <c r="B257" s="2"/>
      <c r="C257" s="76"/>
      <c r="D257" s="76"/>
      <c r="E257" s="76"/>
      <c r="F257" s="76"/>
      <c r="G257" s="76"/>
      <c r="H257" s="76"/>
      <c r="I257" s="76"/>
      <c r="J257" s="76"/>
      <c r="K257" s="198"/>
      <c r="L257" s="198"/>
      <c r="M257" s="77"/>
      <c r="N257" s="2"/>
      <c r="O257" s="2"/>
      <c r="P257" s="2"/>
      <c r="Q257" s="2"/>
      <c r="R257" s="2"/>
    </row>
    <row r="258" spans="1:18" ht="15">
      <c r="A258" s="2"/>
      <c r="B258" s="2"/>
      <c r="C258" s="76"/>
      <c r="D258" s="76"/>
      <c r="E258" s="76"/>
      <c r="F258" s="76"/>
      <c r="G258" s="76"/>
      <c r="H258" s="76"/>
      <c r="I258" s="76"/>
      <c r="J258" s="76"/>
      <c r="K258" s="198"/>
      <c r="L258" s="198"/>
      <c r="M258" s="77"/>
      <c r="N258" s="2"/>
      <c r="O258" s="2"/>
      <c r="P258" s="2"/>
      <c r="Q258" s="2"/>
      <c r="R258" s="2"/>
    </row>
    <row r="259" spans="1:18" ht="15">
      <c r="A259" s="2"/>
      <c r="B259" s="2"/>
      <c r="C259" s="76"/>
      <c r="D259" s="76"/>
      <c r="E259" s="76"/>
      <c r="F259" s="76"/>
      <c r="G259" s="76"/>
      <c r="H259" s="76"/>
      <c r="I259" s="76"/>
      <c r="J259" s="76"/>
      <c r="K259" s="198"/>
      <c r="L259" s="198"/>
      <c r="M259" s="77"/>
      <c r="N259" s="2"/>
      <c r="O259" s="2"/>
      <c r="P259" s="2"/>
      <c r="Q259" s="2"/>
      <c r="R259" s="2"/>
    </row>
    <row r="260" spans="1:18" ht="15">
      <c r="A260" s="2"/>
      <c r="B260" s="2"/>
      <c r="C260" s="76"/>
      <c r="D260" s="76"/>
      <c r="E260" s="76"/>
      <c r="F260" s="76"/>
      <c r="G260" s="76"/>
      <c r="H260" s="76"/>
      <c r="I260" s="76"/>
      <c r="J260" s="76"/>
      <c r="K260" s="198"/>
      <c r="L260" s="198"/>
      <c r="M260" s="77"/>
      <c r="N260" s="2"/>
      <c r="O260" s="2"/>
      <c r="P260" s="2"/>
      <c r="Q260" s="2"/>
      <c r="R260" s="2"/>
    </row>
    <row r="261" spans="1:18" ht="15">
      <c r="A261" s="2"/>
      <c r="B261" s="2"/>
      <c r="C261" s="76"/>
      <c r="D261" s="76"/>
      <c r="E261" s="76"/>
      <c r="F261" s="76"/>
      <c r="G261" s="76"/>
      <c r="H261" s="76"/>
      <c r="I261" s="76"/>
      <c r="J261" s="76"/>
      <c r="K261" s="198"/>
      <c r="L261" s="198"/>
      <c r="M261" s="77"/>
      <c r="N261" s="2"/>
      <c r="O261" s="2"/>
      <c r="P261" s="2"/>
      <c r="Q261" s="2"/>
      <c r="R261" s="2"/>
    </row>
    <row r="262" spans="1:18" ht="15">
      <c r="A262" s="2"/>
      <c r="B262" s="2"/>
      <c r="C262" s="76"/>
      <c r="D262" s="76"/>
      <c r="E262" s="76"/>
      <c r="F262" s="76"/>
      <c r="G262" s="76"/>
      <c r="H262" s="76"/>
      <c r="I262" s="76"/>
      <c r="J262" s="76"/>
      <c r="K262" s="198"/>
      <c r="L262" s="198"/>
      <c r="M262" s="77"/>
      <c r="N262" s="2"/>
      <c r="O262" s="2"/>
      <c r="P262" s="2"/>
      <c r="Q262" s="2"/>
      <c r="R262" s="2"/>
    </row>
    <row r="263" spans="1:18" ht="15">
      <c r="A263" s="2"/>
      <c r="B263" s="2"/>
      <c r="C263" s="76"/>
      <c r="D263" s="76"/>
      <c r="E263" s="76"/>
      <c r="F263" s="76"/>
      <c r="G263" s="76"/>
      <c r="H263" s="76"/>
      <c r="I263" s="76"/>
      <c r="J263" s="76"/>
      <c r="K263" s="198"/>
      <c r="L263" s="198"/>
      <c r="M263" s="77"/>
      <c r="N263" s="2"/>
      <c r="O263" s="2"/>
      <c r="P263" s="2"/>
      <c r="Q263" s="2"/>
      <c r="R263" s="2"/>
    </row>
    <row r="264" spans="1:18" ht="15">
      <c r="A264" s="2"/>
      <c r="B264" s="2"/>
      <c r="C264" s="76"/>
      <c r="D264" s="76"/>
      <c r="E264" s="76"/>
      <c r="F264" s="76"/>
      <c r="G264" s="76"/>
      <c r="H264" s="76"/>
      <c r="I264" s="76"/>
      <c r="J264" s="76"/>
      <c r="K264" s="198"/>
      <c r="L264" s="198"/>
      <c r="M264" s="77"/>
      <c r="N264" s="2"/>
      <c r="O264" s="2"/>
      <c r="P264" s="2"/>
      <c r="Q264" s="2"/>
      <c r="R264" s="2"/>
    </row>
    <row r="265" spans="1:18" ht="15">
      <c r="A265" s="2"/>
      <c r="B265" s="2"/>
      <c r="C265" s="76"/>
      <c r="D265" s="76"/>
      <c r="E265" s="76"/>
      <c r="F265" s="76"/>
      <c r="G265" s="76"/>
      <c r="H265" s="76"/>
      <c r="I265" s="76"/>
      <c r="J265" s="76"/>
      <c r="K265" s="198"/>
      <c r="L265" s="198"/>
      <c r="M265" s="77"/>
      <c r="N265" s="2"/>
      <c r="O265" s="2"/>
      <c r="P265" s="2"/>
      <c r="Q265" s="2"/>
      <c r="R265" s="2"/>
    </row>
    <row r="266" spans="1:18" ht="15">
      <c r="A266" s="2"/>
      <c r="B266" s="2"/>
      <c r="C266" s="76"/>
      <c r="D266" s="76"/>
      <c r="E266" s="76"/>
      <c r="F266" s="76"/>
      <c r="G266" s="76"/>
      <c r="H266" s="76"/>
      <c r="I266" s="76"/>
      <c r="J266" s="76"/>
      <c r="K266" s="198"/>
      <c r="L266" s="198"/>
      <c r="M266" s="77"/>
      <c r="N266" s="2"/>
      <c r="O266" s="2"/>
      <c r="P266" s="2"/>
      <c r="Q266" s="2"/>
      <c r="R266" s="2"/>
    </row>
    <row r="267" spans="1:18" ht="15">
      <c r="A267" s="2"/>
      <c r="B267" s="2"/>
      <c r="C267" s="76"/>
      <c r="D267" s="76"/>
      <c r="E267" s="76"/>
      <c r="F267" s="76"/>
      <c r="G267" s="76"/>
      <c r="H267" s="76"/>
      <c r="I267" s="76"/>
      <c r="J267" s="76"/>
      <c r="K267" s="198"/>
      <c r="L267" s="198"/>
      <c r="M267" s="77"/>
      <c r="N267" s="2"/>
      <c r="O267" s="2"/>
      <c r="P267" s="2"/>
      <c r="Q267" s="2"/>
      <c r="R267" s="2"/>
    </row>
    <row r="268" spans="1:18" ht="15">
      <c r="A268" s="2"/>
      <c r="B268" s="2"/>
      <c r="C268" s="76"/>
      <c r="D268" s="76"/>
      <c r="E268" s="76"/>
      <c r="F268" s="76"/>
      <c r="G268" s="76"/>
      <c r="H268" s="76"/>
      <c r="I268" s="76"/>
      <c r="J268" s="76"/>
      <c r="K268" s="198"/>
      <c r="L268" s="198"/>
      <c r="M268" s="77"/>
      <c r="N268" s="2"/>
      <c r="O268" s="2"/>
      <c r="P268" s="2"/>
      <c r="Q268" s="2"/>
      <c r="R268" s="2"/>
    </row>
    <row r="269" spans="1:18" ht="15">
      <c r="A269" s="2"/>
      <c r="B269" s="2"/>
      <c r="C269" s="76"/>
      <c r="D269" s="76"/>
      <c r="E269" s="76"/>
      <c r="F269" s="76"/>
      <c r="G269" s="76"/>
      <c r="H269" s="76"/>
      <c r="I269" s="76"/>
      <c r="J269" s="76"/>
      <c r="K269" s="198"/>
      <c r="L269" s="198"/>
      <c r="M269" s="77"/>
      <c r="N269" s="2"/>
      <c r="O269" s="2"/>
      <c r="P269" s="2"/>
      <c r="Q269" s="2"/>
      <c r="R269" s="2"/>
    </row>
    <row r="270" spans="1:18" ht="15">
      <c r="A270" s="2"/>
      <c r="B270" s="2"/>
      <c r="C270" s="76"/>
      <c r="D270" s="76"/>
      <c r="E270" s="76"/>
      <c r="F270" s="76"/>
      <c r="G270" s="76"/>
      <c r="H270" s="76"/>
      <c r="I270" s="76"/>
      <c r="J270" s="76"/>
      <c r="K270" s="198"/>
      <c r="L270" s="198"/>
      <c r="M270" s="77"/>
      <c r="N270" s="2"/>
      <c r="O270" s="2"/>
      <c r="P270" s="2"/>
      <c r="Q270" s="2"/>
      <c r="R270" s="2"/>
    </row>
    <row r="271" spans="1:18" ht="15">
      <c r="A271" s="2"/>
      <c r="B271" s="2"/>
      <c r="C271" s="76"/>
      <c r="D271" s="76"/>
      <c r="E271" s="76"/>
      <c r="F271" s="76"/>
      <c r="G271" s="76"/>
      <c r="H271" s="76"/>
      <c r="I271" s="76"/>
      <c r="J271" s="76"/>
      <c r="K271" s="198"/>
      <c r="L271" s="198"/>
      <c r="M271" s="77"/>
      <c r="N271" s="2"/>
      <c r="O271" s="2"/>
      <c r="P271" s="2"/>
      <c r="Q271" s="2"/>
      <c r="R271" s="2"/>
    </row>
    <row r="272" spans="1:18" ht="15">
      <c r="A272" s="2"/>
      <c r="B272" s="2"/>
      <c r="C272" s="76"/>
      <c r="D272" s="76"/>
      <c r="E272" s="76"/>
      <c r="F272" s="76"/>
      <c r="G272" s="76"/>
      <c r="H272" s="76"/>
      <c r="I272" s="76"/>
      <c r="J272" s="76"/>
      <c r="K272" s="198"/>
      <c r="L272" s="198"/>
      <c r="M272" s="77"/>
      <c r="N272" s="2"/>
      <c r="O272" s="2"/>
      <c r="P272" s="2"/>
      <c r="Q272" s="2"/>
      <c r="R272" s="2"/>
    </row>
    <row r="273" spans="1:18" ht="15">
      <c r="A273" s="2"/>
      <c r="B273" s="2"/>
      <c r="C273" s="76"/>
      <c r="D273" s="76"/>
      <c r="E273" s="76"/>
      <c r="F273" s="76"/>
      <c r="G273" s="76"/>
      <c r="H273" s="76"/>
      <c r="I273" s="76"/>
      <c r="J273" s="76"/>
      <c r="K273" s="198"/>
      <c r="L273" s="198"/>
      <c r="M273" s="77"/>
      <c r="N273" s="2"/>
      <c r="O273" s="2"/>
      <c r="P273" s="2"/>
      <c r="Q273" s="2"/>
      <c r="R273" s="2"/>
    </row>
    <row r="274" spans="1:18" ht="15">
      <c r="A274" s="2"/>
      <c r="B274" s="2"/>
      <c r="C274" s="76"/>
      <c r="D274" s="76"/>
      <c r="E274" s="76"/>
      <c r="F274" s="76"/>
      <c r="G274" s="76"/>
      <c r="H274" s="76"/>
      <c r="I274" s="76"/>
      <c r="J274" s="76"/>
      <c r="K274" s="198"/>
      <c r="L274" s="198"/>
      <c r="M274" s="77"/>
      <c r="N274" s="2"/>
      <c r="O274" s="2"/>
      <c r="P274" s="2"/>
      <c r="Q274" s="2"/>
      <c r="R274" s="2"/>
    </row>
    <row r="275" spans="1:18" ht="15">
      <c r="A275" s="2"/>
      <c r="B275" s="2"/>
      <c r="C275" s="76"/>
      <c r="D275" s="76"/>
      <c r="E275" s="76"/>
      <c r="F275" s="76"/>
      <c r="G275" s="76"/>
      <c r="H275" s="76"/>
      <c r="I275" s="76"/>
      <c r="J275" s="76"/>
      <c r="K275" s="198"/>
      <c r="L275" s="198"/>
      <c r="M275" s="77"/>
      <c r="N275" s="2"/>
      <c r="O275" s="2"/>
      <c r="P275" s="2"/>
      <c r="Q275" s="2"/>
      <c r="R275" s="2"/>
    </row>
    <row r="276" spans="1:18" ht="15">
      <c r="A276" s="2"/>
      <c r="B276" s="2"/>
      <c r="C276" s="76"/>
      <c r="D276" s="76"/>
      <c r="E276" s="76"/>
      <c r="F276" s="76"/>
      <c r="G276" s="76"/>
      <c r="H276" s="76"/>
      <c r="I276" s="76"/>
      <c r="J276" s="76"/>
      <c r="K276" s="198"/>
      <c r="L276" s="198"/>
      <c r="M276" s="77"/>
      <c r="N276" s="2"/>
      <c r="O276" s="2"/>
      <c r="P276" s="2"/>
      <c r="Q276" s="2"/>
      <c r="R276" s="2"/>
    </row>
    <row r="277" spans="1:18" ht="15">
      <c r="A277" s="2"/>
      <c r="B277" s="2"/>
      <c r="C277" s="76"/>
      <c r="D277" s="76"/>
      <c r="E277" s="76"/>
      <c r="F277" s="76"/>
      <c r="G277" s="76"/>
      <c r="H277" s="76"/>
      <c r="I277" s="76"/>
      <c r="J277" s="76"/>
      <c r="K277" s="198"/>
      <c r="L277" s="198"/>
      <c r="M277" s="77"/>
      <c r="N277" s="2"/>
      <c r="O277" s="2"/>
      <c r="P277" s="2"/>
      <c r="Q277" s="2"/>
      <c r="R277" s="2"/>
    </row>
    <row r="278" spans="1:18" ht="15">
      <c r="A278" s="2"/>
      <c r="B278" s="2"/>
      <c r="C278" s="76"/>
      <c r="D278" s="76"/>
      <c r="E278" s="76"/>
      <c r="F278" s="76"/>
      <c r="G278" s="76"/>
      <c r="H278" s="76"/>
      <c r="I278" s="76"/>
      <c r="J278" s="76"/>
      <c r="K278" s="198"/>
      <c r="L278" s="198"/>
      <c r="M278" s="77"/>
      <c r="N278" s="2"/>
      <c r="O278" s="2"/>
      <c r="P278" s="2"/>
      <c r="Q278" s="2"/>
      <c r="R278" s="2"/>
    </row>
    <row r="279" spans="1:18" ht="15">
      <c r="A279" s="2"/>
      <c r="B279" s="2"/>
      <c r="C279" s="76"/>
      <c r="D279" s="76"/>
      <c r="E279" s="76"/>
      <c r="F279" s="76"/>
      <c r="G279" s="76"/>
      <c r="H279" s="76"/>
      <c r="I279" s="76"/>
      <c r="J279" s="76"/>
      <c r="K279" s="198"/>
      <c r="L279" s="198"/>
      <c r="M279" s="77"/>
      <c r="N279" s="2"/>
      <c r="O279" s="2"/>
      <c r="P279" s="2"/>
      <c r="Q279" s="2"/>
      <c r="R279" s="2"/>
    </row>
    <row r="280" spans="1:18" ht="15">
      <c r="A280" s="2"/>
      <c r="B280" s="2"/>
      <c r="C280" s="76"/>
      <c r="D280" s="76"/>
      <c r="E280" s="76"/>
      <c r="F280" s="76"/>
      <c r="G280" s="76"/>
      <c r="H280" s="76"/>
      <c r="I280" s="76"/>
      <c r="J280" s="76"/>
      <c r="K280" s="198"/>
      <c r="L280" s="198"/>
      <c r="M280" s="77"/>
      <c r="N280" s="2"/>
      <c r="O280" s="2"/>
      <c r="P280" s="2"/>
      <c r="Q280" s="2"/>
      <c r="R280" s="2"/>
    </row>
    <row r="281" spans="1:18" ht="15">
      <c r="A281" s="2"/>
      <c r="B281" s="2"/>
      <c r="C281" s="76"/>
      <c r="D281" s="76"/>
      <c r="E281" s="76"/>
      <c r="F281" s="76"/>
      <c r="G281" s="76"/>
      <c r="H281" s="76"/>
      <c r="I281" s="76"/>
      <c r="J281" s="76"/>
      <c r="K281" s="198"/>
      <c r="L281" s="198"/>
      <c r="M281" s="77"/>
      <c r="N281" s="2"/>
      <c r="O281" s="2"/>
      <c r="P281" s="2"/>
      <c r="Q281" s="2"/>
      <c r="R281" s="2"/>
    </row>
    <row r="282" spans="1:18" ht="15">
      <c r="A282" s="2"/>
      <c r="B282" s="2"/>
      <c r="C282" s="76"/>
      <c r="D282" s="76"/>
      <c r="E282" s="76"/>
      <c r="F282" s="76"/>
      <c r="G282" s="76"/>
      <c r="H282" s="76"/>
      <c r="I282" s="76"/>
      <c r="J282" s="76"/>
      <c r="K282" s="198"/>
      <c r="L282" s="198"/>
      <c r="M282" s="77"/>
      <c r="N282" s="2"/>
      <c r="O282" s="2"/>
      <c r="P282" s="2"/>
      <c r="Q282" s="2"/>
      <c r="R282" s="2"/>
    </row>
    <row r="283" spans="1:18" ht="15">
      <c r="A283" s="2"/>
      <c r="B283" s="2"/>
      <c r="C283" s="76"/>
      <c r="D283" s="76"/>
      <c r="E283" s="76"/>
      <c r="F283" s="76"/>
      <c r="G283" s="76"/>
      <c r="H283" s="76"/>
      <c r="I283" s="76"/>
      <c r="J283" s="76"/>
      <c r="K283" s="198"/>
      <c r="L283" s="198"/>
      <c r="M283" s="77"/>
      <c r="N283" s="2"/>
      <c r="O283" s="2"/>
      <c r="P283" s="2"/>
      <c r="Q283" s="2"/>
      <c r="R283" s="2"/>
    </row>
    <row r="284" spans="1:18" ht="15">
      <c r="A284" s="2"/>
      <c r="B284" s="2"/>
      <c r="C284" s="76"/>
      <c r="D284" s="76"/>
      <c r="E284" s="76"/>
      <c r="F284" s="76"/>
      <c r="G284" s="76"/>
      <c r="H284" s="76"/>
      <c r="I284" s="76"/>
      <c r="J284" s="76"/>
      <c r="K284" s="198"/>
      <c r="L284" s="198"/>
      <c r="M284" s="77"/>
      <c r="N284" s="2"/>
      <c r="O284" s="2"/>
      <c r="P284" s="2"/>
      <c r="Q284" s="2"/>
      <c r="R284" s="2"/>
    </row>
    <row r="285" spans="1:18" ht="15">
      <c r="A285" s="2"/>
      <c r="B285" s="2"/>
      <c r="C285" s="76"/>
      <c r="D285" s="76"/>
      <c r="E285" s="76"/>
      <c r="F285" s="76"/>
      <c r="G285" s="76"/>
      <c r="H285" s="76"/>
      <c r="I285" s="76"/>
      <c r="J285" s="76"/>
      <c r="K285" s="198"/>
      <c r="L285" s="198"/>
      <c r="M285" s="77"/>
      <c r="N285" s="2"/>
      <c r="O285" s="2"/>
      <c r="P285" s="2"/>
      <c r="Q285" s="2"/>
      <c r="R285" s="2"/>
    </row>
    <row r="286" spans="1:18" ht="15">
      <c r="A286" s="2"/>
      <c r="B286" s="2"/>
      <c r="C286" s="76"/>
      <c r="D286" s="76"/>
      <c r="E286" s="76"/>
      <c r="F286" s="76"/>
      <c r="G286" s="76"/>
      <c r="H286" s="76"/>
      <c r="I286" s="76"/>
      <c r="J286" s="76"/>
      <c r="K286" s="198"/>
      <c r="L286" s="198"/>
      <c r="M286" s="77"/>
      <c r="N286" s="2"/>
      <c r="O286" s="2"/>
      <c r="P286" s="2"/>
      <c r="Q286" s="2"/>
      <c r="R286" s="2"/>
    </row>
    <row r="287" spans="1:18" ht="15">
      <c r="A287" s="2"/>
      <c r="B287" s="2"/>
      <c r="C287" s="76"/>
      <c r="D287" s="76"/>
      <c r="E287" s="76"/>
      <c r="F287" s="76"/>
      <c r="G287" s="76"/>
      <c r="H287" s="76"/>
      <c r="I287" s="76"/>
      <c r="J287" s="76"/>
      <c r="K287" s="198"/>
      <c r="L287" s="198"/>
      <c r="M287" s="77"/>
      <c r="N287" s="2"/>
      <c r="O287" s="2"/>
      <c r="P287" s="2"/>
      <c r="Q287" s="2"/>
      <c r="R287" s="2"/>
    </row>
    <row r="288" spans="1:18" ht="15">
      <c r="A288" s="2"/>
      <c r="B288" s="2"/>
      <c r="C288" s="76"/>
      <c r="D288" s="76"/>
      <c r="E288" s="76"/>
      <c r="F288" s="76"/>
      <c r="G288" s="76"/>
      <c r="H288" s="76"/>
      <c r="I288" s="76"/>
      <c r="J288" s="76"/>
      <c r="K288" s="198"/>
      <c r="L288" s="198"/>
      <c r="M288" s="77"/>
      <c r="N288" s="2"/>
      <c r="O288" s="2"/>
      <c r="P288" s="2"/>
      <c r="Q288" s="2"/>
      <c r="R288" s="2"/>
    </row>
    <row r="289" spans="1:18" ht="15">
      <c r="A289" s="2"/>
      <c r="B289" s="2"/>
      <c r="C289" s="76"/>
      <c r="D289" s="76"/>
      <c r="E289" s="76"/>
      <c r="F289" s="76"/>
      <c r="G289" s="76"/>
      <c r="H289" s="76"/>
      <c r="I289" s="76"/>
      <c r="J289" s="76"/>
      <c r="K289" s="198"/>
      <c r="L289" s="198"/>
      <c r="M289" s="77"/>
      <c r="N289" s="2"/>
      <c r="O289" s="2"/>
      <c r="P289" s="2"/>
      <c r="Q289" s="2"/>
      <c r="R289" s="2"/>
    </row>
    <row r="290" spans="1:18" ht="15">
      <c r="A290" s="2"/>
      <c r="B290" s="2"/>
      <c r="C290" s="76"/>
      <c r="D290" s="76"/>
      <c r="E290" s="76"/>
      <c r="F290" s="76"/>
      <c r="G290" s="76"/>
      <c r="H290" s="76"/>
      <c r="I290" s="76"/>
      <c r="J290" s="76"/>
      <c r="K290" s="198"/>
      <c r="L290" s="198"/>
      <c r="M290" s="77"/>
      <c r="N290" s="2"/>
      <c r="O290" s="2"/>
      <c r="P290" s="2"/>
      <c r="Q290" s="2"/>
      <c r="R290" s="2"/>
    </row>
    <row r="291" spans="1:18" ht="15">
      <c r="A291" s="2"/>
      <c r="B291" s="2"/>
      <c r="C291" s="76"/>
      <c r="D291" s="76"/>
      <c r="E291" s="76"/>
      <c r="F291" s="76"/>
      <c r="G291" s="76"/>
      <c r="H291" s="76"/>
      <c r="I291" s="76"/>
      <c r="J291" s="76"/>
      <c r="K291" s="198"/>
      <c r="L291" s="198"/>
      <c r="M291" s="77"/>
      <c r="N291" s="2"/>
      <c r="O291" s="2"/>
      <c r="P291" s="2"/>
      <c r="Q291" s="2"/>
      <c r="R291" s="2"/>
    </row>
    <row r="292" spans="1:18" ht="15">
      <c r="A292" s="2"/>
      <c r="B292" s="2"/>
      <c r="C292" s="76"/>
      <c r="D292" s="76"/>
      <c r="E292" s="76"/>
      <c r="F292" s="76"/>
      <c r="G292" s="76"/>
      <c r="H292" s="76"/>
      <c r="I292" s="76"/>
      <c r="J292" s="76"/>
      <c r="K292" s="198"/>
      <c r="L292" s="198"/>
      <c r="M292" s="77"/>
      <c r="N292" s="2"/>
      <c r="O292" s="2"/>
      <c r="P292" s="2"/>
      <c r="Q292" s="2"/>
      <c r="R292" s="2"/>
    </row>
    <row r="293" spans="1:18" ht="15">
      <c r="A293" s="2"/>
      <c r="B293" s="2"/>
      <c r="C293" s="76"/>
      <c r="D293" s="76"/>
      <c r="E293" s="76"/>
      <c r="F293" s="76"/>
      <c r="G293" s="76"/>
      <c r="H293" s="76"/>
      <c r="I293" s="76"/>
      <c r="J293" s="76"/>
      <c r="K293" s="198"/>
      <c r="L293" s="198"/>
      <c r="M293" s="77"/>
      <c r="N293" s="2"/>
      <c r="O293" s="2"/>
      <c r="P293" s="2"/>
      <c r="Q293" s="2"/>
      <c r="R293" s="2"/>
    </row>
    <row r="294" spans="1:18" ht="15">
      <c r="A294" s="2"/>
      <c r="B294" s="2"/>
      <c r="C294" s="76"/>
      <c r="D294" s="76"/>
      <c r="E294" s="76"/>
      <c r="F294" s="76"/>
      <c r="G294" s="76"/>
      <c r="H294" s="76"/>
      <c r="I294" s="76"/>
      <c r="J294" s="76"/>
      <c r="K294" s="198"/>
      <c r="L294" s="198"/>
      <c r="M294" s="77"/>
      <c r="N294" s="2"/>
      <c r="O294" s="2"/>
      <c r="P294" s="2"/>
      <c r="Q294" s="2"/>
      <c r="R294" s="2"/>
    </row>
    <row r="295" spans="1:18" ht="15">
      <c r="A295" s="2"/>
      <c r="B295" s="2"/>
      <c r="C295" s="76"/>
      <c r="D295" s="76"/>
      <c r="E295" s="76"/>
      <c r="F295" s="76"/>
      <c r="G295" s="76"/>
      <c r="H295" s="76"/>
      <c r="I295" s="76"/>
      <c r="J295" s="76"/>
      <c r="K295" s="198"/>
      <c r="L295" s="198"/>
      <c r="M295" s="77"/>
      <c r="N295" s="2"/>
      <c r="O295" s="2"/>
      <c r="P295" s="2"/>
      <c r="Q295" s="2"/>
      <c r="R295" s="2"/>
    </row>
    <row r="296" spans="1:18" ht="15">
      <c r="A296" s="2"/>
      <c r="B296" s="2"/>
      <c r="C296" s="76"/>
      <c r="D296" s="76"/>
      <c r="E296" s="76"/>
      <c r="F296" s="76"/>
      <c r="G296" s="76"/>
      <c r="H296" s="76"/>
      <c r="I296" s="76"/>
      <c r="J296" s="76"/>
      <c r="K296" s="198"/>
      <c r="L296" s="198"/>
      <c r="M296" s="77"/>
      <c r="N296" s="2"/>
      <c r="O296" s="2"/>
      <c r="P296" s="2"/>
      <c r="Q296" s="2"/>
      <c r="R296" s="2"/>
    </row>
    <row r="297" spans="1:18" ht="15">
      <c r="A297" s="2"/>
      <c r="B297" s="2"/>
      <c r="C297" s="76"/>
      <c r="D297" s="76"/>
      <c r="E297" s="76"/>
      <c r="F297" s="76"/>
      <c r="G297" s="76"/>
      <c r="H297" s="76"/>
      <c r="I297" s="76"/>
      <c r="J297" s="76"/>
      <c r="K297" s="198"/>
      <c r="L297" s="198"/>
      <c r="M297" s="77"/>
      <c r="N297" s="2"/>
      <c r="O297" s="2"/>
      <c r="P297" s="2"/>
      <c r="Q297" s="2"/>
      <c r="R297" s="2"/>
    </row>
    <row r="298" spans="1:18" ht="15">
      <c r="A298" s="2"/>
      <c r="B298" s="2"/>
      <c r="C298" s="76"/>
      <c r="D298" s="76"/>
      <c r="E298" s="76"/>
      <c r="F298" s="76"/>
      <c r="G298" s="76"/>
      <c r="H298" s="76"/>
      <c r="I298" s="76"/>
      <c r="J298" s="76"/>
      <c r="K298" s="198"/>
      <c r="L298" s="198"/>
      <c r="M298" s="77"/>
      <c r="N298" s="2"/>
      <c r="O298" s="2"/>
      <c r="P298" s="2"/>
      <c r="Q298" s="2"/>
      <c r="R298" s="2"/>
    </row>
    <row r="299" spans="1:18" ht="15">
      <c r="A299" s="2"/>
      <c r="B299" s="2"/>
      <c r="C299" s="76"/>
      <c r="D299" s="76"/>
      <c r="E299" s="76"/>
      <c r="F299" s="76"/>
      <c r="G299" s="76"/>
      <c r="H299" s="76"/>
      <c r="I299" s="76"/>
      <c r="J299" s="76"/>
      <c r="K299" s="198"/>
      <c r="L299" s="198"/>
      <c r="M299" s="77"/>
      <c r="N299" s="2"/>
      <c r="O299" s="2"/>
      <c r="P299" s="2"/>
      <c r="Q299" s="2"/>
      <c r="R299" s="2"/>
    </row>
    <row r="300" spans="1:18" ht="15">
      <c r="A300" s="2"/>
      <c r="B300" s="2"/>
      <c r="C300" s="76"/>
      <c r="D300" s="76"/>
      <c r="E300" s="76"/>
      <c r="F300" s="76"/>
      <c r="G300" s="76"/>
      <c r="H300" s="76"/>
      <c r="I300" s="76"/>
      <c r="J300" s="76"/>
      <c r="K300" s="198"/>
      <c r="L300" s="198"/>
      <c r="M300" s="77"/>
      <c r="N300" s="2"/>
      <c r="O300" s="2"/>
      <c r="P300" s="2"/>
      <c r="Q300" s="2"/>
      <c r="R300" s="2"/>
    </row>
    <row r="301" spans="1:18" ht="15">
      <c r="A301" s="2"/>
      <c r="B301" s="2"/>
      <c r="C301" s="76"/>
      <c r="D301" s="76"/>
      <c r="E301" s="76"/>
      <c r="F301" s="76"/>
      <c r="G301" s="76"/>
      <c r="H301" s="76"/>
      <c r="I301" s="76"/>
      <c r="J301" s="76"/>
      <c r="K301" s="198"/>
      <c r="L301" s="198"/>
      <c r="M301" s="77"/>
      <c r="N301" s="2"/>
      <c r="O301" s="2"/>
      <c r="P301" s="2"/>
      <c r="Q301" s="2"/>
      <c r="R301" s="2"/>
    </row>
    <row r="302" spans="1:18" ht="15">
      <c r="A302" s="2"/>
      <c r="B302" s="2"/>
      <c r="C302" s="76"/>
      <c r="D302" s="76"/>
      <c r="E302" s="76"/>
      <c r="F302" s="76"/>
      <c r="G302" s="76"/>
      <c r="H302" s="76"/>
      <c r="I302" s="76"/>
      <c r="J302" s="76"/>
      <c r="K302" s="198"/>
      <c r="L302" s="198"/>
      <c r="M302" s="77"/>
      <c r="N302" s="2"/>
      <c r="O302" s="2"/>
      <c r="P302" s="2"/>
      <c r="Q302" s="2"/>
      <c r="R302" s="2"/>
    </row>
    <row r="303" spans="1:18" ht="15">
      <c r="A303" s="2"/>
      <c r="B303" s="2"/>
      <c r="C303" s="76"/>
      <c r="D303" s="76"/>
      <c r="E303" s="76"/>
      <c r="F303" s="76"/>
      <c r="G303" s="76"/>
      <c r="H303" s="76"/>
      <c r="I303" s="76"/>
      <c r="J303" s="76"/>
      <c r="K303" s="198"/>
      <c r="L303" s="198"/>
      <c r="M303" s="77"/>
      <c r="N303" s="2"/>
      <c r="O303" s="2"/>
      <c r="P303" s="2"/>
      <c r="Q303" s="2"/>
      <c r="R303" s="2"/>
    </row>
    <row r="304" spans="1:18" ht="15">
      <c r="A304" s="2"/>
      <c r="B304" s="2"/>
      <c r="C304" s="76"/>
      <c r="D304" s="76"/>
      <c r="E304" s="76"/>
      <c r="F304" s="76"/>
      <c r="G304" s="76"/>
      <c r="H304" s="76"/>
      <c r="I304" s="76"/>
      <c r="J304" s="76"/>
      <c r="K304" s="198"/>
      <c r="L304" s="198"/>
      <c r="M304" s="77"/>
      <c r="N304" s="2"/>
      <c r="O304" s="2"/>
      <c r="P304" s="2"/>
      <c r="Q304" s="2"/>
      <c r="R304" s="2"/>
    </row>
    <row r="305" spans="1:18" ht="15">
      <c r="A305" s="2"/>
      <c r="B305" s="2"/>
      <c r="C305" s="76"/>
      <c r="D305" s="76"/>
      <c r="E305" s="76"/>
      <c r="F305" s="76"/>
      <c r="G305" s="76"/>
      <c r="H305" s="76"/>
      <c r="I305" s="76"/>
      <c r="J305" s="76"/>
      <c r="K305" s="198"/>
      <c r="L305" s="198"/>
      <c r="M305" s="77"/>
      <c r="N305" s="2"/>
      <c r="O305" s="2"/>
      <c r="P305" s="2"/>
      <c r="Q305" s="2"/>
      <c r="R305" s="2"/>
    </row>
    <row r="306" spans="1:18" ht="15">
      <c r="A306" s="2"/>
      <c r="B306" s="2"/>
      <c r="C306" s="76"/>
      <c r="D306" s="76"/>
      <c r="E306" s="76"/>
      <c r="F306" s="76"/>
      <c r="G306" s="76"/>
      <c r="H306" s="76"/>
      <c r="I306" s="76"/>
      <c r="J306" s="76"/>
      <c r="K306" s="198"/>
      <c r="L306" s="198"/>
      <c r="M306" s="77"/>
      <c r="N306" s="2"/>
      <c r="O306" s="2"/>
      <c r="P306" s="2"/>
      <c r="Q306" s="2"/>
      <c r="R306" s="2"/>
    </row>
    <row r="307" spans="1:18" ht="15">
      <c r="A307" s="2"/>
      <c r="B307" s="2"/>
      <c r="C307" s="76"/>
      <c r="D307" s="76"/>
      <c r="E307" s="76"/>
      <c r="F307" s="76"/>
      <c r="G307" s="76"/>
      <c r="H307" s="76"/>
      <c r="I307" s="76"/>
      <c r="J307" s="76"/>
      <c r="K307" s="198"/>
      <c r="L307" s="198"/>
      <c r="M307" s="77"/>
      <c r="N307" s="2"/>
      <c r="O307" s="2"/>
      <c r="P307" s="2"/>
      <c r="Q307" s="2"/>
      <c r="R307" s="2"/>
    </row>
    <row r="308" spans="1:18" ht="15">
      <c r="A308" s="2"/>
      <c r="B308" s="2"/>
      <c r="C308" s="76"/>
      <c r="D308" s="76"/>
      <c r="E308" s="76"/>
      <c r="F308" s="76"/>
      <c r="G308" s="76"/>
      <c r="H308" s="76"/>
      <c r="I308" s="76"/>
      <c r="J308" s="76"/>
      <c r="K308" s="198"/>
      <c r="L308" s="198"/>
      <c r="M308" s="77"/>
      <c r="N308" s="2"/>
      <c r="O308" s="2"/>
      <c r="P308" s="2"/>
      <c r="Q308" s="2"/>
      <c r="R308" s="2"/>
    </row>
    <row r="309" spans="1:18" ht="15">
      <c r="A309" s="2"/>
      <c r="B309" s="2"/>
      <c r="C309" s="76"/>
      <c r="D309" s="76"/>
      <c r="E309" s="76"/>
      <c r="F309" s="76"/>
      <c r="G309" s="76"/>
      <c r="H309" s="76"/>
      <c r="I309" s="76"/>
      <c r="J309" s="76"/>
      <c r="K309" s="198"/>
      <c r="L309" s="198"/>
      <c r="M309" s="77"/>
      <c r="N309" s="2"/>
      <c r="O309" s="2"/>
      <c r="P309" s="2"/>
      <c r="Q309" s="2"/>
      <c r="R309" s="2"/>
    </row>
    <row r="310" spans="1:18" ht="15">
      <c r="A310" s="2"/>
      <c r="B310" s="2"/>
      <c r="C310" s="76"/>
      <c r="D310" s="76"/>
      <c r="E310" s="76"/>
      <c r="F310" s="76"/>
      <c r="G310" s="76"/>
      <c r="H310" s="76"/>
      <c r="I310" s="76"/>
      <c r="J310" s="76"/>
      <c r="K310" s="198"/>
      <c r="L310" s="198"/>
      <c r="M310" s="77"/>
      <c r="N310" s="2"/>
      <c r="O310" s="2"/>
      <c r="P310" s="2"/>
      <c r="Q310" s="2"/>
      <c r="R310" s="2"/>
    </row>
    <row r="311" spans="1:18" ht="15">
      <c r="A311" s="2"/>
      <c r="B311" s="2"/>
      <c r="C311" s="76"/>
      <c r="D311" s="76"/>
      <c r="E311" s="76"/>
      <c r="F311" s="76"/>
      <c r="G311" s="76"/>
      <c r="H311" s="76"/>
      <c r="I311" s="76"/>
      <c r="J311" s="76"/>
      <c r="K311" s="198"/>
      <c r="L311" s="198"/>
      <c r="M311" s="77"/>
      <c r="N311" s="2"/>
      <c r="O311" s="2"/>
      <c r="P311" s="2"/>
      <c r="Q311" s="2"/>
      <c r="R311" s="2"/>
    </row>
    <row r="312" spans="1:18" ht="15">
      <c r="A312" s="2"/>
      <c r="B312" s="2"/>
      <c r="C312" s="76"/>
      <c r="D312" s="76"/>
      <c r="E312" s="76"/>
      <c r="F312" s="76"/>
      <c r="G312" s="76"/>
      <c r="H312" s="76"/>
      <c r="I312" s="76"/>
      <c r="J312" s="76"/>
      <c r="K312" s="198"/>
      <c r="L312" s="198"/>
      <c r="M312" s="77"/>
      <c r="N312" s="2"/>
      <c r="O312" s="2"/>
      <c r="P312" s="2"/>
      <c r="Q312" s="2"/>
      <c r="R312" s="2"/>
    </row>
    <row r="313" spans="1:18" ht="15">
      <c r="A313" s="2"/>
      <c r="B313" s="2"/>
      <c r="C313" s="76"/>
      <c r="D313" s="76"/>
      <c r="E313" s="76"/>
      <c r="F313" s="76"/>
      <c r="G313" s="76"/>
      <c r="H313" s="76"/>
      <c r="I313" s="76"/>
      <c r="J313" s="76"/>
      <c r="K313" s="198"/>
      <c r="L313" s="198"/>
      <c r="M313" s="77"/>
      <c r="N313" s="2"/>
      <c r="O313" s="2"/>
      <c r="P313" s="2"/>
      <c r="Q313" s="2"/>
      <c r="R313" s="2"/>
    </row>
    <row r="314" spans="1:18" ht="15">
      <c r="A314" s="2"/>
      <c r="B314" s="2"/>
      <c r="C314" s="76"/>
      <c r="D314" s="76"/>
      <c r="E314" s="76"/>
      <c r="F314" s="76"/>
      <c r="G314" s="76"/>
      <c r="H314" s="76"/>
      <c r="I314" s="76"/>
      <c r="J314" s="76"/>
      <c r="K314" s="198"/>
      <c r="L314" s="198"/>
      <c r="M314" s="77"/>
      <c r="N314" s="2"/>
      <c r="O314" s="2"/>
      <c r="P314" s="2"/>
      <c r="Q314" s="2"/>
      <c r="R314" s="2"/>
    </row>
    <row r="315" spans="1:18" ht="15">
      <c r="A315" s="2"/>
      <c r="B315" s="2"/>
      <c r="C315" s="76"/>
      <c r="D315" s="76"/>
      <c r="E315" s="76"/>
      <c r="F315" s="76"/>
      <c r="G315" s="76"/>
      <c r="H315" s="76"/>
      <c r="I315" s="76"/>
      <c r="J315" s="76"/>
      <c r="K315" s="198"/>
      <c r="L315" s="198"/>
      <c r="M315" s="77"/>
      <c r="N315" s="2"/>
      <c r="O315" s="2"/>
      <c r="P315" s="2"/>
      <c r="Q315" s="2"/>
      <c r="R315" s="2"/>
    </row>
    <row r="316" spans="1:18" ht="15">
      <c r="A316" s="2"/>
      <c r="B316" s="2"/>
      <c r="C316" s="76"/>
      <c r="D316" s="76"/>
      <c r="E316" s="76"/>
      <c r="F316" s="76"/>
      <c r="G316" s="76"/>
      <c r="H316" s="76"/>
      <c r="I316" s="76"/>
      <c r="J316" s="76"/>
      <c r="K316" s="198"/>
      <c r="L316" s="198"/>
      <c r="M316" s="77"/>
      <c r="N316" s="2"/>
      <c r="O316" s="2"/>
      <c r="P316" s="2"/>
      <c r="Q316" s="2"/>
      <c r="R316" s="2"/>
    </row>
    <row r="317" spans="1:18" ht="15">
      <c r="A317" s="2"/>
      <c r="B317" s="2"/>
      <c r="C317" s="76"/>
      <c r="D317" s="76"/>
      <c r="E317" s="76"/>
      <c r="F317" s="76"/>
      <c r="G317" s="76"/>
      <c r="H317" s="76"/>
      <c r="I317" s="76"/>
      <c r="J317" s="76"/>
      <c r="K317" s="198"/>
      <c r="L317" s="198"/>
      <c r="M317" s="77"/>
      <c r="N317" s="2"/>
      <c r="O317" s="2"/>
      <c r="P317" s="2"/>
      <c r="Q317" s="2"/>
      <c r="R317" s="2"/>
    </row>
    <row r="318" spans="1:18" ht="15">
      <c r="A318" s="2"/>
      <c r="B318" s="2"/>
      <c r="C318" s="76"/>
      <c r="D318" s="76"/>
      <c r="E318" s="76"/>
      <c r="F318" s="76"/>
      <c r="G318" s="76"/>
      <c r="H318" s="76"/>
      <c r="I318" s="76"/>
      <c r="J318" s="76"/>
      <c r="K318" s="198"/>
      <c r="L318" s="198"/>
      <c r="M318" s="77"/>
      <c r="N318" s="2"/>
      <c r="O318" s="2"/>
      <c r="P318" s="2"/>
      <c r="Q318" s="2"/>
      <c r="R318" s="2"/>
    </row>
    <row r="319" spans="1:18" ht="15">
      <c r="A319" s="2"/>
      <c r="B319" s="2"/>
      <c r="C319" s="76"/>
      <c r="D319" s="76"/>
      <c r="E319" s="76"/>
      <c r="F319" s="76"/>
      <c r="G319" s="76"/>
      <c r="H319" s="76"/>
      <c r="I319" s="76"/>
      <c r="J319" s="76"/>
      <c r="K319" s="198"/>
      <c r="L319" s="198"/>
      <c r="M319" s="77"/>
      <c r="N319" s="2"/>
      <c r="O319" s="2"/>
      <c r="P319" s="2"/>
      <c r="Q319" s="2"/>
      <c r="R319" s="2"/>
    </row>
    <row r="320" spans="1:18" ht="15">
      <c r="A320" s="2"/>
      <c r="B320" s="2"/>
      <c r="C320" s="76"/>
      <c r="D320" s="76"/>
      <c r="E320" s="76"/>
      <c r="F320" s="76"/>
      <c r="G320" s="76"/>
      <c r="H320" s="76"/>
      <c r="I320" s="76"/>
      <c r="J320" s="76"/>
      <c r="K320" s="198"/>
      <c r="L320" s="198"/>
      <c r="M320" s="77"/>
      <c r="N320" s="2"/>
      <c r="O320" s="2"/>
      <c r="P320" s="2"/>
      <c r="Q320" s="2"/>
      <c r="R320" s="2"/>
    </row>
    <row r="321" spans="1:18" ht="15">
      <c r="A321" s="2"/>
      <c r="B321" s="2"/>
      <c r="C321" s="76"/>
      <c r="D321" s="76"/>
      <c r="E321" s="76"/>
      <c r="F321" s="76"/>
      <c r="G321" s="76"/>
      <c r="H321" s="76"/>
      <c r="I321" s="76"/>
      <c r="J321" s="76"/>
      <c r="K321" s="198"/>
      <c r="L321" s="198"/>
      <c r="M321" s="77"/>
      <c r="N321" s="2"/>
      <c r="O321" s="2"/>
      <c r="P321" s="2"/>
      <c r="Q321" s="2"/>
      <c r="R321" s="2"/>
    </row>
    <row r="322" spans="1:18" ht="15">
      <c r="A322" s="2"/>
      <c r="B322" s="2"/>
      <c r="C322" s="76"/>
      <c r="D322" s="76"/>
      <c r="E322" s="76"/>
      <c r="F322" s="76"/>
      <c r="G322" s="76"/>
      <c r="H322" s="76"/>
      <c r="I322" s="76"/>
      <c r="J322" s="76"/>
      <c r="K322" s="198"/>
      <c r="L322" s="198"/>
      <c r="M322" s="77"/>
      <c r="N322" s="2"/>
      <c r="O322" s="2"/>
      <c r="P322" s="2"/>
      <c r="Q322" s="2"/>
      <c r="R322" s="2"/>
    </row>
    <row r="323" spans="1:18" ht="15">
      <c r="A323" s="2"/>
      <c r="B323" s="2"/>
      <c r="C323" s="76"/>
      <c r="D323" s="76"/>
      <c r="E323" s="76"/>
      <c r="F323" s="76"/>
      <c r="G323" s="76"/>
      <c r="H323" s="76"/>
      <c r="I323" s="76"/>
      <c r="J323" s="76"/>
      <c r="K323" s="198"/>
      <c r="L323" s="198"/>
      <c r="M323" s="77"/>
      <c r="N323" s="2"/>
      <c r="O323" s="2"/>
      <c r="P323" s="2"/>
      <c r="Q323" s="2"/>
      <c r="R323" s="2"/>
    </row>
    <row r="324" spans="1:18" ht="15">
      <c r="A324" s="2"/>
      <c r="B324" s="2"/>
      <c r="C324" s="76"/>
      <c r="D324" s="76"/>
      <c r="E324" s="76"/>
      <c r="F324" s="76"/>
      <c r="G324" s="76"/>
      <c r="H324" s="76"/>
      <c r="I324" s="76"/>
      <c r="J324" s="76"/>
      <c r="K324" s="198"/>
      <c r="L324" s="198"/>
      <c r="M324" s="77"/>
      <c r="N324" s="2"/>
      <c r="O324" s="2"/>
      <c r="P324" s="2"/>
      <c r="Q324" s="2"/>
      <c r="R324" s="2"/>
    </row>
    <row r="325" spans="1:18" ht="15">
      <c r="A325" s="2"/>
      <c r="B325" s="2"/>
      <c r="C325" s="76"/>
      <c r="D325" s="76"/>
      <c r="E325" s="76"/>
      <c r="F325" s="76"/>
      <c r="G325" s="76"/>
      <c r="H325" s="76"/>
      <c r="I325" s="76"/>
      <c r="J325" s="76"/>
      <c r="K325" s="198"/>
      <c r="L325" s="198"/>
      <c r="M325" s="77"/>
      <c r="N325" s="2"/>
      <c r="O325" s="2"/>
      <c r="P325" s="2"/>
      <c r="Q325" s="2"/>
      <c r="R325" s="2"/>
    </row>
    <row r="326" spans="1:18" ht="15">
      <c r="A326" s="2"/>
      <c r="B326" s="2"/>
      <c r="C326" s="76"/>
      <c r="D326" s="76"/>
      <c r="E326" s="76"/>
      <c r="F326" s="76"/>
      <c r="G326" s="76"/>
      <c r="H326" s="76"/>
      <c r="I326" s="76"/>
      <c r="J326" s="76"/>
      <c r="K326" s="198"/>
      <c r="L326" s="198"/>
      <c r="M326" s="77"/>
      <c r="N326" s="2"/>
      <c r="O326" s="2"/>
      <c r="P326" s="2"/>
      <c r="Q326" s="2"/>
      <c r="R326" s="2"/>
    </row>
    <row r="327" spans="1:18" ht="15">
      <c r="A327" s="2"/>
      <c r="B327" s="2"/>
      <c r="C327" s="76"/>
      <c r="D327" s="76"/>
      <c r="E327" s="76"/>
      <c r="F327" s="76"/>
      <c r="G327" s="76"/>
      <c r="H327" s="76"/>
      <c r="I327" s="76"/>
      <c r="J327" s="76"/>
      <c r="K327" s="198"/>
      <c r="L327" s="198"/>
      <c r="M327" s="77"/>
      <c r="N327" s="2"/>
      <c r="O327" s="2"/>
      <c r="P327" s="2"/>
      <c r="Q327" s="2"/>
      <c r="R327" s="2"/>
    </row>
    <row r="328" spans="1:18" ht="15">
      <c r="A328" s="2"/>
      <c r="B328" s="2"/>
      <c r="C328" s="76"/>
      <c r="D328" s="76"/>
      <c r="E328" s="76"/>
      <c r="F328" s="76"/>
      <c r="G328" s="76"/>
      <c r="H328" s="76"/>
      <c r="I328" s="76"/>
      <c r="J328" s="76"/>
      <c r="K328" s="198"/>
      <c r="L328" s="198"/>
      <c r="M328" s="77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8"/>
      <c r="L329" s="198"/>
      <c r="M329" s="77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8"/>
      <c r="L330" s="198"/>
      <c r="M330" s="77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8"/>
      <c r="L331" s="198"/>
      <c r="M331" s="77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8"/>
      <c r="L332" s="198"/>
      <c r="M332" s="77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8"/>
      <c r="L333" s="198"/>
      <c r="M333" s="77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8"/>
      <c r="L334" s="198"/>
      <c r="M334" s="77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8"/>
      <c r="L335" s="198"/>
      <c r="M335" s="77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8"/>
      <c r="L336" s="198"/>
      <c r="M336" s="77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8"/>
      <c r="L337" s="198"/>
      <c r="M337" s="77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8"/>
      <c r="L338" s="198"/>
      <c r="M338" s="77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8"/>
      <c r="L339" s="198"/>
      <c r="M339" s="77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8"/>
      <c r="L340" s="198"/>
      <c r="M340" s="77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8"/>
      <c r="L341" s="198"/>
      <c r="M341" s="77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8"/>
      <c r="L342" s="198"/>
      <c r="M342" s="77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8"/>
      <c r="L343" s="198"/>
      <c r="M343" s="77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8"/>
      <c r="L344" s="198"/>
      <c r="M344" s="77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8"/>
      <c r="L345" s="198"/>
      <c r="M345" s="77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8"/>
      <c r="L346" s="198"/>
      <c r="M346" s="77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8"/>
      <c r="L347" s="198"/>
      <c r="M347" s="77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8"/>
      <c r="L348" s="198"/>
      <c r="M348" s="77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8"/>
      <c r="L349" s="198"/>
      <c r="M349" s="77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8"/>
      <c r="L350" s="198"/>
      <c r="M350" s="77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8"/>
      <c r="L351" s="198"/>
      <c r="M351" s="77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8"/>
      <c r="L352" s="198"/>
      <c r="M352" s="77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8"/>
      <c r="L353" s="198"/>
      <c r="M353" s="77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8"/>
      <c r="L354" s="198"/>
      <c r="M354" s="77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8"/>
      <c r="L355" s="198"/>
      <c r="M355" s="77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8"/>
      <c r="L356" s="198"/>
      <c r="M356" s="77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8"/>
      <c r="L357" s="198"/>
      <c r="M357" s="77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8"/>
      <c r="L358" s="198"/>
      <c r="M358" s="77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8"/>
      <c r="L359" s="198"/>
      <c r="M359" s="77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8"/>
      <c r="L360" s="198"/>
      <c r="M360" s="77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8"/>
      <c r="L361" s="198"/>
      <c r="M361" s="77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8"/>
      <c r="L362" s="198"/>
      <c r="M362" s="77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8"/>
      <c r="L363" s="198"/>
      <c r="M363" s="77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8"/>
      <c r="L364" s="198"/>
      <c r="M364" s="77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8"/>
      <c r="L365" s="198"/>
      <c r="M365" s="77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8"/>
      <c r="L366" s="198"/>
      <c r="M366" s="77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8"/>
      <c r="L367" s="198"/>
      <c r="M367" s="77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8"/>
      <c r="L368" s="198"/>
      <c r="M368" s="77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8"/>
      <c r="L369" s="198"/>
      <c r="M369" s="77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8"/>
      <c r="L370" s="198"/>
      <c r="M370" s="77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8"/>
      <c r="L371" s="198"/>
      <c r="M371" s="77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8"/>
      <c r="L372" s="198"/>
      <c r="M372" s="77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8"/>
      <c r="L373" s="198"/>
      <c r="M373" s="77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8"/>
      <c r="L374" s="198"/>
      <c r="M374" s="77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8"/>
      <c r="L375" s="198"/>
      <c r="M375" s="77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8"/>
      <c r="L376" s="198"/>
      <c r="M376" s="77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8"/>
      <c r="L377" s="198"/>
      <c r="M377" s="77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8"/>
      <c r="L378" s="198"/>
      <c r="M378" s="77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8"/>
      <c r="L379" s="198"/>
      <c r="M379" s="77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8"/>
      <c r="L380" s="198"/>
      <c r="M380" s="77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8"/>
      <c r="L381" s="198"/>
      <c r="M381" s="77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8"/>
      <c r="L382" s="198"/>
      <c r="M382" s="77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8"/>
      <c r="L383" s="198"/>
      <c r="M383" s="77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8"/>
      <c r="L384" s="198"/>
      <c r="M384" s="77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8"/>
      <c r="L385" s="198"/>
      <c r="M385" s="77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8"/>
      <c r="L386" s="198"/>
      <c r="M386" s="77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8"/>
      <c r="L387" s="198"/>
      <c r="M387" s="77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8"/>
      <c r="L388" s="198"/>
      <c r="M388" s="77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8"/>
      <c r="L389" s="198"/>
      <c r="M389" s="77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8"/>
      <c r="L390" s="198"/>
      <c r="M390" s="77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8"/>
      <c r="L391" s="198"/>
      <c r="M391" s="77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8"/>
      <c r="L392" s="198"/>
      <c r="M392" s="77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8"/>
      <c r="L393" s="198"/>
      <c r="M393" s="77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8"/>
      <c r="L394" s="198"/>
      <c r="M394" s="77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8"/>
      <c r="L395" s="198"/>
      <c r="M395" s="77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8"/>
      <c r="L396" s="198"/>
      <c r="M396" s="77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8"/>
      <c r="L397" s="198"/>
      <c r="M397" s="77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8"/>
      <c r="L398" s="198"/>
      <c r="M398" s="77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8"/>
      <c r="L399" s="198"/>
      <c r="M399" s="77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8"/>
      <c r="L400" s="198"/>
      <c r="M400" s="77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8"/>
      <c r="L401" s="198"/>
      <c r="M401" s="77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8"/>
      <c r="L402" s="198"/>
      <c r="M402" s="77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8"/>
      <c r="L403" s="198"/>
      <c r="M403" s="77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8"/>
      <c r="L404" s="198"/>
      <c r="M404" s="77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8"/>
      <c r="L405" s="198"/>
      <c r="M405" s="77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8"/>
      <c r="L406" s="198"/>
      <c r="M406" s="77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8"/>
      <c r="L407" s="198"/>
      <c r="M407" s="77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8"/>
      <c r="L408" s="198"/>
      <c r="M408" s="77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8"/>
      <c r="L409" s="198"/>
      <c r="M409" s="77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8"/>
      <c r="L410" s="198"/>
      <c r="M410" s="77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8"/>
      <c r="L411" s="198"/>
      <c r="M411" s="77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8"/>
      <c r="L412" s="198"/>
      <c r="M412" s="77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8"/>
      <c r="L413" s="198"/>
      <c r="M413" s="77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8"/>
      <c r="L414" s="198"/>
      <c r="M414" s="77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8"/>
      <c r="L415" s="198"/>
      <c r="M415" s="77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8"/>
      <c r="L416" s="198"/>
      <c r="M416" s="77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8"/>
      <c r="L417" s="198"/>
      <c r="M417" s="77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8"/>
      <c r="L418" s="198"/>
      <c r="M418" s="77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8"/>
      <c r="L419" s="198"/>
      <c r="M419" s="77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8"/>
      <c r="L420" s="198"/>
      <c r="M420" s="77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8"/>
      <c r="L421" s="198"/>
      <c r="M421" s="77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8"/>
      <c r="L422" s="198"/>
      <c r="M422" s="77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8"/>
      <c r="L423" s="198"/>
      <c r="M423" s="77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8"/>
      <c r="L424" s="198"/>
      <c r="M424" s="77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8"/>
      <c r="L425" s="198"/>
      <c r="M425" s="77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8"/>
      <c r="L426" s="198"/>
      <c r="M426" s="77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8"/>
      <c r="L427" s="198"/>
      <c r="M427" s="77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8"/>
      <c r="L428" s="198"/>
      <c r="M428" s="77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8"/>
      <c r="L429" s="198"/>
      <c r="M429" s="77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8"/>
      <c r="L430" s="198"/>
      <c r="M430" s="77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8"/>
      <c r="L431" s="198"/>
      <c r="M431" s="77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8"/>
      <c r="L432" s="198"/>
      <c r="M432" s="77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8"/>
      <c r="L433" s="198"/>
      <c r="M433" s="77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8"/>
      <c r="L434" s="198"/>
      <c r="M434" s="77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8"/>
      <c r="L435" s="198"/>
      <c r="M435" s="77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8"/>
      <c r="L436" s="198"/>
      <c r="M436" s="77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8"/>
      <c r="L437" s="198"/>
      <c r="M437" s="77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8"/>
      <c r="L438" s="198"/>
      <c r="M438" s="77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8"/>
      <c r="L439" s="198"/>
      <c r="M439" s="77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8"/>
      <c r="L440" s="198"/>
      <c r="M440" s="77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8"/>
      <c r="L441" s="198"/>
      <c r="M441" s="77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8"/>
      <c r="L442" s="198"/>
      <c r="M442" s="77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8"/>
      <c r="L443" s="198"/>
      <c r="M443" s="77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8"/>
      <c r="L444" s="198"/>
      <c r="M444" s="77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8"/>
      <c r="L445" s="198"/>
      <c r="M445" s="77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8"/>
      <c r="L446" s="198"/>
      <c r="M446" s="77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8"/>
      <c r="L447" s="198"/>
      <c r="M447" s="77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8"/>
      <c r="L448" s="198"/>
      <c r="M448" s="77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8"/>
      <c r="L449" s="198"/>
      <c r="M449" s="77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8"/>
      <c r="L450" s="198"/>
      <c r="M450" s="77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8"/>
      <c r="L451" s="198"/>
      <c r="M451" s="77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8"/>
      <c r="L452" s="198"/>
      <c r="M452" s="77"/>
      <c r="N452" s="2"/>
      <c r="O452" s="2"/>
      <c r="P452" s="2"/>
      <c r="Q452" s="2"/>
      <c r="R452" s="2"/>
    </row>
    <row r="453" spans="1:18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8"/>
      <c r="L453" s="198"/>
      <c r="M453" s="77"/>
      <c r="N453" s="2"/>
      <c r="O453" s="2"/>
      <c r="P453" s="2"/>
      <c r="Q453" s="2"/>
      <c r="R453" s="2"/>
    </row>
    <row r="454" spans="1:18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8"/>
      <c r="L454" s="198"/>
      <c r="M454" s="77"/>
      <c r="N454" s="2"/>
      <c r="O454" s="2"/>
      <c r="P454" s="2"/>
      <c r="Q454" s="2"/>
      <c r="R454" s="2"/>
    </row>
  </sheetData>
  <sheetProtection/>
  <printOptions horizontalCentered="1"/>
  <pageMargins left="0.7" right="0.25" top="0.319444444444444" bottom="0.2" header="0.5" footer="0.5"/>
  <pageSetup horizontalDpi="600" verticalDpi="600" orientation="landscape" scale="60" r:id="rId1"/>
  <rowBreaks count="3" manualBreakCount="3">
    <brk id="49" max="12" man="1"/>
    <brk id="91" max="12" man="1"/>
    <brk id="13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showOutlineSymbols="0" zoomScale="87" zoomScaleNormal="87" zoomScalePageLayoutView="0" workbookViewId="0" topLeftCell="A1">
      <selection activeCell="A3" sqref="A3"/>
    </sheetView>
  </sheetViews>
  <sheetFormatPr defaultColWidth="9.6640625" defaultRowHeight="15"/>
  <cols>
    <col min="1" max="1" width="11.88671875" style="82" customWidth="1"/>
    <col min="2" max="2" width="10.99609375" style="82" customWidth="1"/>
    <col min="3" max="3" width="16.10546875" style="82" customWidth="1"/>
    <col min="4" max="4" width="16.21484375" style="82" customWidth="1"/>
    <col min="5" max="5" width="12.88671875" style="82" customWidth="1"/>
    <col min="6" max="6" width="14.3359375" style="82" customWidth="1"/>
    <col min="7" max="7" width="17.88671875" style="82" customWidth="1"/>
    <col min="8" max="8" width="15.4453125" style="82" customWidth="1"/>
    <col min="9" max="9" width="14.6640625" style="82" customWidth="1"/>
    <col min="10" max="10" width="11.5546875" style="82" customWidth="1"/>
    <col min="11" max="11" width="12.77734375" style="82" customWidth="1"/>
    <col min="12" max="12" width="14.5546875" style="82" customWidth="1"/>
    <col min="13" max="13" width="10.21484375" style="82" customWidth="1"/>
    <col min="14" max="14" width="13.88671875" style="82" customWidth="1"/>
    <col min="15" max="15" width="3.77734375" style="82" customWidth="1"/>
    <col min="16" max="16384" width="9.6640625" style="82" customWidth="1"/>
  </cols>
  <sheetData>
    <row r="1" spans="1:14" ht="23.25">
      <c r="A1" s="80" t="s">
        <v>0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3.25">
      <c r="A2" s="80" t="s">
        <v>24</v>
      </c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3.25">
      <c r="A3" s="80" t="s">
        <v>72</v>
      </c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23.25">
      <c r="A4" s="80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24" thickBot="1">
      <c r="A5" s="80" t="s">
        <v>25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5" ht="16.5" thickTop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 t="s">
        <v>26</v>
      </c>
      <c r="O6" s="85"/>
    </row>
    <row r="7" spans="1:15" ht="15.75">
      <c r="A7" s="86" t="s">
        <v>27</v>
      </c>
      <c r="B7" s="87" t="s">
        <v>13</v>
      </c>
      <c r="C7" s="87" t="s">
        <v>15</v>
      </c>
      <c r="D7" s="87" t="s">
        <v>59</v>
      </c>
      <c r="E7" s="87" t="s">
        <v>28</v>
      </c>
      <c r="F7" s="87" t="s">
        <v>17</v>
      </c>
      <c r="G7" s="87" t="s">
        <v>18</v>
      </c>
      <c r="H7" s="87" t="s">
        <v>58</v>
      </c>
      <c r="I7" s="87" t="s">
        <v>29</v>
      </c>
      <c r="J7" s="87" t="s">
        <v>61</v>
      </c>
      <c r="K7" s="87" t="s">
        <v>56</v>
      </c>
      <c r="L7" s="87" t="s">
        <v>20</v>
      </c>
      <c r="M7" s="87" t="s">
        <v>57</v>
      </c>
      <c r="N7" s="87" t="s">
        <v>30</v>
      </c>
      <c r="O7" s="85"/>
    </row>
    <row r="8" spans="1:15" ht="15.75" thickBo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5"/>
    </row>
    <row r="9" spans="1:15" ht="15.75" thickTop="1">
      <c r="A9" s="89"/>
      <c r="B9" s="89"/>
      <c r="C9" s="89"/>
      <c r="D9" s="89"/>
      <c r="E9" s="90"/>
      <c r="F9" s="90"/>
      <c r="G9" s="90"/>
      <c r="H9" s="90"/>
      <c r="I9" s="89"/>
      <c r="J9" s="89"/>
      <c r="K9" s="89"/>
      <c r="L9" s="89"/>
      <c r="M9" s="89"/>
      <c r="N9" s="89"/>
      <c r="O9" s="85"/>
    </row>
    <row r="10" spans="1:15" ht="15.75">
      <c r="A10" s="91">
        <f>DATE(2011,7,1)</f>
        <v>40725</v>
      </c>
      <c r="B10" s="92">
        <f>'MONTHLY STATS'!$C$9*2</f>
        <v>946942</v>
      </c>
      <c r="C10" s="92">
        <f>'MONTHLY STATS'!$C$23*2</f>
        <v>410148</v>
      </c>
      <c r="D10" s="92">
        <f>'MONTHLY STATS'!$C$37*2</f>
        <v>174054</v>
      </c>
      <c r="E10" s="92">
        <f>'MONTHLY STATS'!$C$51*2</f>
        <v>1235346</v>
      </c>
      <c r="F10" s="92">
        <f>'MONTHLY STATS'!$C$65*2</f>
        <v>883842</v>
      </c>
      <c r="G10" s="92">
        <f>'MONTHLY STATS'!$C$79*2</f>
        <v>542104</v>
      </c>
      <c r="H10" s="92">
        <f>'MONTHLY STATS'!$C$93*2</f>
        <v>1141696</v>
      </c>
      <c r="I10" s="92">
        <f>'MONTHLY STATS'!$C$107*2</f>
        <v>1312686</v>
      </c>
      <c r="J10" s="92">
        <f>'MONTHLY STATS'!$C$121*2</f>
        <v>1148712</v>
      </c>
      <c r="K10" s="92">
        <f>'MONTHLY STATS'!$C$135*2</f>
        <v>207794</v>
      </c>
      <c r="L10" s="92">
        <f>'MONTHLY STATS'!$C$149*2</f>
        <v>1333144</v>
      </c>
      <c r="M10" s="92">
        <f>'MONTHLY STATS'!$C$163*2</f>
        <v>0</v>
      </c>
      <c r="N10" s="93">
        <f aca="true" t="shared" si="0" ref="N10:N15">SUM(B10:M10)</f>
        <v>9336468</v>
      </c>
      <c r="O10" s="85"/>
    </row>
    <row r="11" spans="1:15" ht="15.75">
      <c r="A11" s="91">
        <f>DATE(2011,8,1)</f>
        <v>40756</v>
      </c>
      <c r="B11" s="92">
        <f>'MONTHLY STATS'!$C$10*2</f>
        <v>872648</v>
      </c>
      <c r="C11" s="92">
        <f>'MONTHLY STATS'!$C$24*2</f>
        <v>373264</v>
      </c>
      <c r="D11" s="92">
        <f>'MONTHLY STATS'!$C$38*2</f>
        <v>149430</v>
      </c>
      <c r="E11" s="92">
        <f>'MONTHLY STATS'!$C$52*2</f>
        <v>1115354</v>
      </c>
      <c r="F11" s="92">
        <f>'MONTHLY STATS'!$C$66*2</f>
        <v>835326</v>
      </c>
      <c r="G11" s="92">
        <f>'MONTHLY STATS'!$C$80*2</f>
        <v>558562</v>
      </c>
      <c r="H11" s="92">
        <f>'MONTHLY STATS'!$C$94*2</f>
        <v>1040478</v>
      </c>
      <c r="I11" s="92">
        <f>'MONTHLY STATS'!$C$108*2</f>
        <v>1169652</v>
      </c>
      <c r="J11" s="92">
        <f>'MONTHLY STATS'!$C$122*2</f>
        <v>1073472</v>
      </c>
      <c r="K11" s="92">
        <f>'MONTHLY STATS'!$C$136*2</f>
        <v>184182</v>
      </c>
      <c r="L11" s="92">
        <f>'MONTHLY STATS'!$C$150*2</f>
        <v>1323764</v>
      </c>
      <c r="M11" s="92">
        <f>'MONTHLY STATS'!$C$163*2</f>
        <v>0</v>
      </c>
      <c r="N11" s="93">
        <f t="shared" si="0"/>
        <v>8696132</v>
      </c>
      <c r="O11" s="85"/>
    </row>
    <row r="12" spans="1:15" ht="15.75">
      <c r="A12" s="91">
        <f>DATE(2011,9,1)</f>
        <v>40787</v>
      </c>
      <c r="B12" s="92">
        <f>'MONTHLY STATS'!$C$11*2</f>
        <v>858172</v>
      </c>
      <c r="C12" s="92">
        <f>'MONTHLY STATS'!$C$25*2</f>
        <v>357822</v>
      </c>
      <c r="D12" s="92">
        <f>'MONTHLY STATS'!$C$39*2</f>
        <v>161970</v>
      </c>
      <c r="E12" s="92">
        <f>'MONTHLY STATS'!$C$53*2</f>
        <v>1136418</v>
      </c>
      <c r="F12" s="92">
        <f>'MONTHLY STATS'!$C$67*2</f>
        <v>790748</v>
      </c>
      <c r="G12" s="92">
        <f>'MONTHLY STATS'!$C$81*2</f>
        <v>517894</v>
      </c>
      <c r="H12" s="92">
        <f>'MONTHLY STATS'!$C$95*2</f>
        <v>1065436</v>
      </c>
      <c r="I12" s="92">
        <f>'MONTHLY STATS'!$C$109*2</f>
        <v>1162138</v>
      </c>
      <c r="J12" s="92">
        <f>'MONTHLY STATS'!$C$123*2</f>
        <v>1055666</v>
      </c>
      <c r="K12" s="92">
        <f>'MONTHLY STATS'!$C$137*2</f>
        <v>188440</v>
      </c>
      <c r="L12" s="92">
        <f>'MONTHLY STATS'!$C$151*2</f>
        <v>1242100</v>
      </c>
      <c r="M12" s="92">
        <f>'MONTHLY STATS'!$C$165*2</f>
        <v>21866</v>
      </c>
      <c r="N12" s="93">
        <f t="shared" si="0"/>
        <v>8558670</v>
      </c>
      <c r="O12" s="85"/>
    </row>
    <row r="13" spans="1:15" ht="15.75">
      <c r="A13" s="91">
        <f>DATE(2011,10,1)</f>
        <v>40817</v>
      </c>
      <c r="B13" s="92">
        <f>'MONTHLY STATS'!$C$12*2</f>
        <v>849494</v>
      </c>
      <c r="C13" s="92">
        <f>'MONTHLY STATS'!$C$26*2</f>
        <v>351104</v>
      </c>
      <c r="D13" s="92">
        <f>'MONTHLY STATS'!$C$40*2</f>
        <v>151326</v>
      </c>
      <c r="E13" s="92">
        <f>'MONTHLY STATS'!$C$54*2</f>
        <v>1088124</v>
      </c>
      <c r="F13" s="92">
        <f>'MONTHLY STATS'!$C$68*2</f>
        <v>810200</v>
      </c>
      <c r="G13" s="92">
        <f>'MONTHLY STATS'!$C$82*2</f>
        <v>537630</v>
      </c>
      <c r="H13" s="92">
        <f>'MONTHLY STATS'!$C$96*2</f>
        <v>1028564</v>
      </c>
      <c r="I13" s="92">
        <f>'MONTHLY STATS'!$C$110*2</f>
        <v>1142976</v>
      </c>
      <c r="J13" s="92">
        <f>'MONTHLY STATS'!$C$124*2</f>
        <v>1034806</v>
      </c>
      <c r="K13" s="92">
        <f>'MONTHLY STATS'!$C$138*2</f>
        <v>183826</v>
      </c>
      <c r="L13" s="92">
        <f>'MONTHLY STATS'!$C$152*2</f>
        <v>1182280</v>
      </c>
      <c r="M13" s="92">
        <f>'MONTHLY STATS'!$C$166*2</f>
        <v>229506</v>
      </c>
      <c r="N13" s="93">
        <f t="shared" si="0"/>
        <v>8589836</v>
      </c>
      <c r="O13" s="85"/>
    </row>
    <row r="14" spans="1:15" ht="15.75">
      <c r="A14" s="91">
        <f>DATE(2011,11,1)</f>
        <v>40848</v>
      </c>
      <c r="B14" s="92">
        <f>'MONTHLY STATS'!$C$13*2</f>
        <v>832334</v>
      </c>
      <c r="C14" s="92">
        <f>'MONTHLY STATS'!$C$27*2</f>
        <v>321556</v>
      </c>
      <c r="D14" s="92">
        <f>'MONTHLY STATS'!$C$41*2</f>
        <v>136010</v>
      </c>
      <c r="E14" s="92">
        <f>'MONTHLY STATS'!$C$55*2</f>
        <v>1069510</v>
      </c>
      <c r="F14" s="92">
        <f>'MONTHLY STATS'!$C$69*2</f>
        <v>784366</v>
      </c>
      <c r="G14" s="92">
        <f>'MONTHLY STATS'!$C$83*2</f>
        <v>481376</v>
      </c>
      <c r="H14" s="92">
        <f>'MONTHLY STATS'!$C$97*2</f>
        <v>942384</v>
      </c>
      <c r="I14" s="92">
        <f>'MONTHLY STATS'!$C$111*2</f>
        <v>1139296</v>
      </c>
      <c r="J14" s="92">
        <f>'MONTHLY STATS'!$C$125*2</f>
        <v>1013724</v>
      </c>
      <c r="K14" s="92">
        <f>'MONTHLY STATS'!$C$139*2</f>
        <v>177910</v>
      </c>
      <c r="L14" s="92">
        <f>'MONTHLY STATS'!$C$153*2</f>
        <v>1212666</v>
      </c>
      <c r="M14" s="92">
        <f>'MONTHLY STATS'!$C$167*2</f>
        <v>211464</v>
      </c>
      <c r="N14" s="93">
        <f t="shared" si="0"/>
        <v>8322596</v>
      </c>
      <c r="O14" s="85"/>
    </row>
    <row r="15" spans="1:15" ht="15.75">
      <c r="A15" s="91">
        <f>DATE(2011,12,1)</f>
        <v>40878</v>
      </c>
      <c r="B15" s="92">
        <f>'MONTHLY STATS'!$C$14*2</f>
        <v>916734</v>
      </c>
      <c r="C15" s="92">
        <f>'MONTHLY STATS'!$C$28*2</f>
        <v>343288</v>
      </c>
      <c r="D15" s="92">
        <f>'MONTHLY STATS'!$C$42*2</f>
        <v>156628</v>
      </c>
      <c r="E15" s="92">
        <f>'MONTHLY STATS'!$C$56*2</f>
        <v>1154088</v>
      </c>
      <c r="F15" s="92">
        <f>'MONTHLY STATS'!$C$70*2</f>
        <v>847120</v>
      </c>
      <c r="G15" s="92">
        <f>'MONTHLY STATS'!$C$84*2</f>
        <v>498132</v>
      </c>
      <c r="H15" s="92">
        <f>'MONTHLY STATS'!$C$98*2</f>
        <v>972772</v>
      </c>
      <c r="I15" s="92">
        <f>'MONTHLY STATS'!$C$112*2</f>
        <v>1253090</v>
      </c>
      <c r="J15" s="92">
        <f>'MONTHLY STATS'!$C$126*2</f>
        <v>1128806</v>
      </c>
      <c r="K15" s="92">
        <f>'MONTHLY STATS'!$C$140*2</f>
        <v>201596</v>
      </c>
      <c r="L15" s="92">
        <f>'MONTHLY STATS'!$C$154*2</f>
        <v>1340512</v>
      </c>
      <c r="M15" s="92">
        <f>'MONTHLY STATS'!$C$168*2</f>
        <v>220138</v>
      </c>
      <c r="N15" s="93">
        <f t="shared" si="0"/>
        <v>9032904</v>
      </c>
      <c r="O15" s="85"/>
    </row>
    <row r="16" spans="1:15" ht="15.75">
      <c r="A16" s="91">
        <f>DATE(2012,1,1)</f>
        <v>40909</v>
      </c>
      <c r="B16" s="92">
        <f>'MONTHLY STATS'!$C$15*2</f>
        <v>881164</v>
      </c>
      <c r="C16" s="92">
        <f>'MONTHLY STATS'!$C$29*2</f>
        <v>347940</v>
      </c>
      <c r="D16" s="92">
        <f>'MONTHLY STATS'!$C$43*2</f>
        <v>145700</v>
      </c>
      <c r="E16" s="92">
        <f>'MONTHLY STATS'!$C$57*2</f>
        <v>1106408</v>
      </c>
      <c r="F16" s="92">
        <f>'MONTHLY STATS'!$C$71*2</f>
        <v>764890</v>
      </c>
      <c r="G16" s="92">
        <f>'MONTHLY STATS'!$C$85*2</f>
        <v>533750</v>
      </c>
      <c r="H16" s="92">
        <f>'MONTHLY STATS'!$C$99*2</f>
        <v>897318</v>
      </c>
      <c r="I16" s="92">
        <f>'MONTHLY STATS'!$C$113*2</f>
        <v>1164350</v>
      </c>
      <c r="J16" s="92">
        <f>'MONTHLY STATS'!$C$127*2</f>
        <v>1000572</v>
      </c>
      <c r="K16" s="92">
        <f>'MONTHLY STATS'!$C$141*2</f>
        <v>185406</v>
      </c>
      <c r="L16" s="92">
        <f>'MONTHLY STATS'!$C$155*2</f>
        <v>1209034</v>
      </c>
      <c r="M16" s="92">
        <f>'MONTHLY STATS'!$C$169*2</f>
        <v>209474</v>
      </c>
      <c r="N16" s="93">
        <f>SUM(B16:M16)</f>
        <v>8446006</v>
      </c>
      <c r="O16" s="85"/>
    </row>
    <row r="17" spans="1:15" ht="15.75">
      <c r="A17" s="91">
        <f>DATE(2012,2,1)</f>
        <v>40940</v>
      </c>
      <c r="B17" s="92">
        <f>'MONTHLY STATS'!$C$16*2</f>
        <v>747356</v>
      </c>
      <c r="C17" s="92">
        <f>'MONTHLY STATS'!$C$30*2</f>
        <v>385900</v>
      </c>
      <c r="D17" s="92">
        <f>'MONTHLY STATS'!$C$44*2</f>
        <v>180812</v>
      </c>
      <c r="E17" s="92">
        <f>'MONTHLY STATS'!$C$58*2</f>
        <v>1133602</v>
      </c>
      <c r="F17" s="92">
        <f>'MONTHLY STATS'!$C$72*2</f>
        <v>751626</v>
      </c>
      <c r="G17" s="92">
        <f>'MONTHLY STATS'!$C$86*2</f>
        <v>539536</v>
      </c>
      <c r="H17" s="92">
        <f>'MONTHLY STATS'!$C$100*2</f>
        <v>980486</v>
      </c>
      <c r="I17" s="92">
        <f>'MONTHLY STATS'!$C$114*2</f>
        <v>1117446</v>
      </c>
      <c r="J17" s="92">
        <f>'MONTHLY STATS'!$C$128*2</f>
        <v>1090050</v>
      </c>
      <c r="K17" s="92">
        <f>'MONTHLY STATS'!$C$142*2</f>
        <v>207208</v>
      </c>
      <c r="L17" s="92">
        <f>'MONTHLY STATS'!$C$156*2</f>
        <v>1274768</v>
      </c>
      <c r="M17" s="92">
        <f>'MONTHLY STATS'!$C$170*2</f>
        <v>232734</v>
      </c>
      <c r="N17" s="93">
        <f>SUM(B17:M17)</f>
        <v>8641524</v>
      </c>
      <c r="O17" s="85"/>
    </row>
    <row r="18" spans="1:15" ht="15.75">
      <c r="A18" s="91">
        <f>DATE(2012,3,1)</f>
        <v>40969</v>
      </c>
      <c r="B18" s="92">
        <f>'MONTHLY STATS'!$C$17*2</f>
        <v>713912</v>
      </c>
      <c r="C18" s="92">
        <f>'MONTHLY STATS'!$C$31*2</f>
        <v>411944</v>
      </c>
      <c r="D18" s="92">
        <f>'MONTHLY STATS'!$C$45*2</f>
        <v>175396</v>
      </c>
      <c r="E18" s="92">
        <f>'MONTHLY STATS'!$C$59*2</f>
        <v>1157134</v>
      </c>
      <c r="F18" s="92">
        <f>'MONTHLY STATS'!$C$73*2</f>
        <v>801510</v>
      </c>
      <c r="G18" s="92">
        <f>'MONTHLY STATS'!$C$87*2</f>
        <v>560784</v>
      </c>
      <c r="H18" s="92">
        <f>'MONTHLY STATS'!$C$101*2</f>
        <v>1018070</v>
      </c>
      <c r="I18" s="92">
        <f>'MONTHLY STATS'!$C$115*2</f>
        <v>1190178</v>
      </c>
      <c r="J18" s="92">
        <f>'MONTHLY STATS'!$C$129*2</f>
        <v>1199234</v>
      </c>
      <c r="K18" s="92">
        <f>'MONTHLY STATS'!$C$143*2</f>
        <v>209036</v>
      </c>
      <c r="L18" s="92">
        <f>'MONTHLY STATS'!$C$157*2</f>
        <v>1322312</v>
      </c>
      <c r="M18" s="92">
        <f>'MONTHLY STATS'!$C$171*2</f>
        <v>227238</v>
      </c>
      <c r="N18" s="93">
        <f>SUM(B18:M18)</f>
        <v>8986748</v>
      </c>
      <c r="O18" s="85"/>
    </row>
    <row r="19" spans="1:15" ht="15.75">
      <c r="A19" s="91">
        <f>DATE(2012,4,1)</f>
        <v>41000</v>
      </c>
      <c r="B19" s="92">
        <f>'MONTHLY STATS'!$C$18*2</f>
        <v>644480</v>
      </c>
      <c r="C19" s="92">
        <f>'MONTHLY STATS'!$C$32*2</f>
        <v>365334</v>
      </c>
      <c r="D19" s="92">
        <f>'MONTHLY STATS'!$C$46*2</f>
        <v>155258</v>
      </c>
      <c r="E19" s="92">
        <f>'MONTHLY STATS'!$C$60*2</f>
        <v>1200714</v>
      </c>
      <c r="F19" s="92">
        <f>'MONTHLY STATS'!$C$74*2</f>
        <v>741754</v>
      </c>
      <c r="G19" s="92">
        <f>'MONTHLY STATS'!$C$88*2</f>
        <v>507526</v>
      </c>
      <c r="H19" s="92">
        <f>'MONTHLY STATS'!$C$102*2</f>
        <v>872324</v>
      </c>
      <c r="I19" s="92">
        <f>'MONTHLY STATS'!$C$116*2</f>
        <v>1044578</v>
      </c>
      <c r="J19" s="92">
        <f>'MONTHLY STATS'!$C$130*2</f>
        <v>1021156</v>
      </c>
      <c r="K19" s="92">
        <f>'MONTHLY STATS'!$C$144*2</f>
        <v>193458</v>
      </c>
      <c r="L19" s="92">
        <f>'MONTHLY STATS'!$C$158*2</f>
        <v>1162126</v>
      </c>
      <c r="M19" s="92">
        <f>'MONTHLY STATS'!$C$172*2</f>
        <v>203968</v>
      </c>
      <c r="N19" s="93">
        <f>SUM(B19:M19)</f>
        <v>8112676</v>
      </c>
      <c r="O19" s="85"/>
    </row>
    <row r="20" spans="1:15" ht="15.75">
      <c r="A20" s="91">
        <f>DATE(2012,5,1)</f>
        <v>41030</v>
      </c>
      <c r="B20" s="92">
        <f>'MONTHLY STATS'!$C$19*2</f>
        <v>661534</v>
      </c>
      <c r="C20" s="92">
        <f>'MONTHLY STATS'!$C$33*2</f>
        <v>371034</v>
      </c>
      <c r="D20" s="92">
        <f>'MONTHLY STATS'!$C$47*2</f>
        <v>157834</v>
      </c>
      <c r="E20" s="92">
        <f>'MONTHLY STATS'!$C$61*2</f>
        <v>1099564</v>
      </c>
      <c r="F20" s="92">
        <f>'MONTHLY STATS'!$C$75*2</f>
        <v>749180</v>
      </c>
      <c r="G20" s="92">
        <f>'MONTHLY STATS'!$C$89*2</f>
        <v>507344</v>
      </c>
      <c r="H20" s="92">
        <f>'MONTHLY STATS'!$C$103*2</f>
        <v>925366</v>
      </c>
      <c r="I20" s="92">
        <f>'MONTHLY STATS'!$C$117*2</f>
        <v>1050506</v>
      </c>
      <c r="J20" s="92">
        <f>'MONTHLY STATS'!$C$131*2</f>
        <v>1075452</v>
      </c>
      <c r="K20" s="92">
        <f>'MONTHLY STATS'!$C$145*2</f>
        <v>193880</v>
      </c>
      <c r="L20" s="92">
        <f>'MONTHLY STATS'!$C$159*2</f>
        <v>1227066</v>
      </c>
      <c r="M20" s="92">
        <f>'MONTHLY STATS'!$C$173*2</f>
        <v>204212</v>
      </c>
      <c r="N20" s="93">
        <f>SUM(B20:M20)</f>
        <v>8222972</v>
      </c>
      <c r="O20" s="85"/>
    </row>
    <row r="21" spans="1:15" ht="15.7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85"/>
    </row>
    <row r="22" spans="1:15" ht="15.7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  <c r="O22" s="85"/>
    </row>
    <row r="23" spans="1:15" ht="15.75">
      <c r="A23" s="94" t="s">
        <v>31</v>
      </c>
      <c r="B23" s="93">
        <f aca="true" t="shared" si="1" ref="B23:N23">SUM(B10:B21)</f>
        <v>8924770</v>
      </c>
      <c r="C23" s="93">
        <f t="shared" si="1"/>
        <v>4039334</v>
      </c>
      <c r="D23" s="93">
        <f t="shared" si="1"/>
        <v>1744418</v>
      </c>
      <c r="E23" s="93">
        <f t="shared" si="1"/>
        <v>12496262</v>
      </c>
      <c r="F23" s="93">
        <f t="shared" si="1"/>
        <v>8760562</v>
      </c>
      <c r="G23" s="93">
        <f t="shared" si="1"/>
        <v>5784638</v>
      </c>
      <c r="H23" s="93">
        <f>SUM(H10:H21)</f>
        <v>10884894</v>
      </c>
      <c r="I23" s="93">
        <f t="shared" si="1"/>
        <v>12746896</v>
      </c>
      <c r="J23" s="93">
        <f>SUM(J10:J21)</f>
        <v>11841650</v>
      </c>
      <c r="K23" s="93">
        <f t="shared" si="1"/>
        <v>2132736</v>
      </c>
      <c r="L23" s="93">
        <f t="shared" si="1"/>
        <v>13829772</v>
      </c>
      <c r="M23" s="93">
        <f t="shared" si="1"/>
        <v>1760600</v>
      </c>
      <c r="N23" s="93">
        <f t="shared" si="1"/>
        <v>94946532</v>
      </c>
      <c r="O23" s="85"/>
    </row>
    <row r="24" spans="1:15" ht="16.5" thickBot="1">
      <c r="A24" s="95"/>
      <c r="B24" s="93"/>
      <c r="C24" s="93"/>
      <c r="D24" s="93"/>
      <c r="E24" s="92"/>
      <c r="F24" s="92"/>
      <c r="G24" s="92"/>
      <c r="H24" s="92"/>
      <c r="I24" s="93"/>
      <c r="J24" s="93"/>
      <c r="K24" s="93"/>
      <c r="L24" s="93"/>
      <c r="M24" s="93"/>
      <c r="N24" s="93"/>
      <c r="O24" s="85"/>
    </row>
    <row r="25" spans="1:14" ht="15.75" thickTop="1">
      <c r="A25" s="96"/>
      <c r="B25" s="97"/>
      <c r="C25" s="97"/>
      <c r="D25" s="97"/>
      <c r="E25" s="97"/>
      <c r="F25" s="97"/>
      <c r="G25" s="97"/>
      <c r="H25" s="97"/>
      <c r="I25" s="97"/>
      <c r="J25" s="98"/>
      <c r="K25" s="98"/>
      <c r="L25" s="98"/>
      <c r="M25" s="98"/>
      <c r="N25" s="98"/>
    </row>
    <row r="26" spans="1:14" ht="24" thickBot="1">
      <c r="A26" s="99" t="s">
        <v>32</v>
      </c>
      <c r="B26" s="100"/>
      <c r="C26" s="101"/>
      <c r="D26" s="101"/>
      <c r="E26" s="101"/>
      <c r="F26" s="101"/>
      <c r="G26" s="101"/>
      <c r="H26" s="101"/>
      <c r="I26" s="101"/>
      <c r="J26" s="102"/>
      <c r="K26" s="102"/>
      <c r="L26" s="102"/>
      <c r="M26" s="102"/>
      <c r="N26" s="102"/>
    </row>
    <row r="27" spans="1:15" ht="16.5" thickTop="1">
      <c r="A27" s="103"/>
      <c r="B27" s="104"/>
      <c r="C27" s="104"/>
      <c r="D27" s="104"/>
      <c r="E27" s="105"/>
      <c r="F27" s="105"/>
      <c r="G27" s="105"/>
      <c r="H27" s="105"/>
      <c r="I27" s="104"/>
      <c r="J27" s="106"/>
      <c r="K27" s="106"/>
      <c r="L27" s="106"/>
      <c r="M27" s="106"/>
      <c r="N27" s="107" t="s">
        <v>26</v>
      </c>
      <c r="O27" s="85"/>
    </row>
    <row r="28" spans="1:15" ht="15.75">
      <c r="A28" s="108" t="s">
        <v>27</v>
      </c>
      <c r="B28" s="87" t="s">
        <v>13</v>
      </c>
      <c r="C28" s="87" t="s">
        <v>15</v>
      </c>
      <c r="D28" s="87" t="s">
        <v>59</v>
      </c>
      <c r="E28" s="87" t="s">
        <v>28</v>
      </c>
      <c r="F28" s="87" t="s">
        <v>17</v>
      </c>
      <c r="G28" s="87" t="s">
        <v>18</v>
      </c>
      <c r="H28" s="87" t="s">
        <v>58</v>
      </c>
      <c r="I28" s="87" t="s">
        <v>29</v>
      </c>
      <c r="J28" s="109" t="s">
        <v>61</v>
      </c>
      <c r="K28" s="109" t="s">
        <v>56</v>
      </c>
      <c r="L28" s="109" t="s">
        <v>20</v>
      </c>
      <c r="M28" s="109" t="s">
        <v>57</v>
      </c>
      <c r="N28" s="109" t="s">
        <v>30</v>
      </c>
      <c r="O28" s="85"/>
    </row>
    <row r="29" spans="1:15" ht="16.5" thickBot="1">
      <c r="A29" s="110"/>
      <c r="B29" s="111"/>
      <c r="C29" s="111"/>
      <c r="D29" s="111"/>
      <c r="E29" s="87"/>
      <c r="F29" s="87"/>
      <c r="G29" s="87"/>
      <c r="H29" s="87"/>
      <c r="I29" s="111"/>
      <c r="J29" s="112"/>
      <c r="K29" s="112"/>
      <c r="L29" s="112"/>
      <c r="M29" s="112"/>
      <c r="N29" s="112"/>
      <c r="O29" s="85"/>
    </row>
    <row r="30" spans="1:15" ht="15.75" thickTop="1">
      <c r="A30" s="113"/>
      <c r="B30" s="114"/>
      <c r="C30" s="114"/>
      <c r="D30" s="114"/>
      <c r="E30" s="115"/>
      <c r="F30" s="115"/>
      <c r="G30" s="115"/>
      <c r="H30" s="115"/>
      <c r="I30" s="114"/>
      <c r="J30" s="116"/>
      <c r="K30" s="116"/>
      <c r="L30" s="116"/>
      <c r="M30" s="116"/>
      <c r="N30" s="116"/>
      <c r="O30" s="85"/>
    </row>
    <row r="31" spans="1:15" ht="15.75">
      <c r="A31" s="91">
        <f>DATE(2011,7,1)</f>
        <v>40725</v>
      </c>
      <c r="B31" s="92">
        <f>'MONTHLY STATS'!$K$9*0.21</f>
        <v>3512225.4573</v>
      </c>
      <c r="C31" s="92">
        <f>'MONTHLY STATS'!$K$23*0.21</f>
        <v>1580683.0662</v>
      </c>
      <c r="D31" s="92">
        <f>'MONTHLY STATS'!$K$37*0.21</f>
        <v>638599.3236</v>
      </c>
      <c r="E31" s="92">
        <f>'MONTHLY STATS'!$K$51*0.21</f>
        <v>5140611.4536</v>
      </c>
      <c r="F31" s="92">
        <f>'MONTHLY STATS'!$K$65*0.21</f>
        <v>3646839.4977</v>
      </c>
      <c r="G31" s="92">
        <f>'MONTHLY STATS'!$K$79*0.21</f>
        <v>1530627.1994999999</v>
      </c>
      <c r="H31" s="92">
        <f>'MONTHLY STATS'!$K$93*0.21</f>
        <v>3189143.3175</v>
      </c>
      <c r="I31" s="92">
        <f>'MONTHLY STATS'!$K$107*0.21</f>
        <v>4473142.6719</v>
      </c>
      <c r="J31" s="92">
        <f>'MONTHLY STATS'!$K$121*0.21</f>
        <v>3639826.6044</v>
      </c>
      <c r="K31" s="92">
        <f>'MONTHLY STATS'!$K$135*0.21</f>
        <v>708026.2035</v>
      </c>
      <c r="L31" s="92">
        <f>'MONTHLY STATS'!$K$149*0.21</f>
        <v>5136789.289799999</v>
      </c>
      <c r="M31" s="92">
        <f>'MONTHLY STATS'!$K$163*0.21</f>
        <v>0</v>
      </c>
      <c r="N31" s="93">
        <f aca="true" t="shared" si="2" ref="N31:N36">SUM(B31:M31)</f>
        <v>33196514.085</v>
      </c>
      <c r="O31" s="85"/>
    </row>
    <row r="32" spans="1:15" ht="15.75">
      <c r="A32" s="91">
        <f>DATE(2011,8,1)</f>
        <v>40756</v>
      </c>
      <c r="B32" s="92">
        <f>'MONTHLY STATS'!$K$10*0.21</f>
        <v>3384664.0442999997</v>
      </c>
      <c r="C32" s="92">
        <f>'MONTHLY STATS'!$K$24*0.21</f>
        <v>1458409.869</v>
      </c>
      <c r="D32" s="92">
        <f>'MONTHLY STATS'!$K$38*0.21</f>
        <v>572995.5252</v>
      </c>
      <c r="E32" s="92">
        <f>'MONTHLY STATS'!$K$52*0.21</f>
        <v>4432386.273</v>
      </c>
      <c r="F32" s="92">
        <f>'MONTHLY STATS'!$K$66*0.21</f>
        <v>3353185.7079</v>
      </c>
      <c r="G32" s="92">
        <f>'MONTHLY STATS'!$K$80*0.21</f>
        <v>1502535.9552</v>
      </c>
      <c r="H32" s="92">
        <f>'MONTHLY STATS'!$K$94*0.21</f>
        <v>2888252.1549</v>
      </c>
      <c r="I32" s="92">
        <f>'MONTHLY STATS'!$K$108*0.21</f>
        <v>3940738.1453999993</v>
      </c>
      <c r="J32" s="92">
        <f>'MONTHLY STATS'!$K$122*0.21</f>
        <v>3475469.4891</v>
      </c>
      <c r="K32" s="92">
        <f>'MONTHLY STATS'!$K$136*0.21</f>
        <v>630196.5915</v>
      </c>
      <c r="L32" s="92">
        <f>'MONTHLY STATS'!$K$150*0.21</f>
        <v>4665572.2512</v>
      </c>
      <c r="M32" s="92">
        <f>'MONTHLY STATS'!$K$163*0.21</f>
        <v>0</v>
      </c>
      <c r="N32" s="93">
        <f t="shared" si="2"/>
        <v>30304406.006699994</v>
      </c>
      <c r="O32" s="85"/>
    </row>
    <row r="33" spans="1:15" ht="15.75">
      <c r="A33" s="91">
        <f>DATE(2011,9,1)</f>
        <v>40787</v>
      </c>
      <c r="B33" s="92">
        <f>'MONTHLY STATS'!$K$11*0.21</f>
        <v>3310039.3578</v>
      </c>
      <c r="C33" s="92">
        <f>'MONTHLY STATS'!$K$25*0.21</f>
        <v>1442309.8368</v>
      </c>
      <c r="D33" s="92">
        <f>'MONTHLY STATS'!$K$39*0.21</f>
        <v>584248.7363999999</v>
      </c>
      <c r="E33" s="92">
        <f>'MONTHLY STATS'!$K$53*0.21</f>
        <v>4614298.7415</v>
      </c>
      <c r="F33" s="92">
        <f>'MONTHLY STATS'!$K$67*0.21</f>
        <v>3413639.8505999995</v>
      </c>
      <c r="G33" s="92">
        <f>'MONTHLY STATS'!$K$81*0.21</f>
        <v>1459635.597</v>
      </c>
      <c r="H33" s="92">
        <f>'MONTHLY STATS'!$K$95*0.21</f>
        <v>3042127.8972</v>
      </c>
      <c r="I33" s="92">
        <f>'MONTHLY STATS'!$K$109*0.21</f>
        <v>3970323.1239</v>
      </c>
      <c r="J33" s="92">
        <f>'MONTHLY STATS'!$K$123*0.21</f>
        <v>3359723.514</v>
      </c>
      <c r="K33" s="92">
        <f>'MONTHLY STATS'!$K$137*0.21</f>
        <v>659446.4793</v>
      </c>
      <c r="L33" s="92">
        <f>'MONTHLY STATS'!$K$151*0.21</f>
        <v>4708071.5367</v>
      </c>
      <c r="M33" s="92">
        <f>'MONTHLY STATS'!$K$165*0.21</f>
        <v>75016.5717</v>
      </c>
      <c r="N33" s="93">
        <f t="shared" si="2"/>
        <v>30638881.242899995</v>
      </c>
      <c r="O33" s="85"/>
    </row>
    <row r="34" spans="1:15" ht="15.75">
      <c r="A34" s="91">
        <f>DATE(2011,10,1)</f>
        <v>40817</v>
      </c>
      <c r="B34" s="92">
        <f>'MONTHLY STATS'!$K$12*0.21</f>
        <v>3315221.3891999996</v>
      </c>
      <c r="C34" s="92">
        <f>'MONTHLY STATS'!$K$26*0.21</f>
        <v>1395817.0611</v>
      </c>
      <c r="D34" s="92">
        <f>'MONTHLY STATS'!$K$40*0.21</f>
        <v>587639.8857</v>
      </c>
      <c r="E34" s="92">
        <f>'MONTHLY STATS'!$K$54*0.21</f>
        <v>4545395.7276</v>
      </c>
      <c r="F34" s="92">
        <f>'MONTHLY STATS'!$K$68*0.21</f>
        <v>3265397.6397</v>
      </c>
      <c r="G34" s="92">
        <f>'MONTHLY STATS'!$K$82*0.21</f>
        <v>1459951.0611</v>
      </c>
      <c r="H34" s="92">
        <f>'MONTHLY STATS'!$K$96*0.21</f>
        <v>2933754.3416999998</v>
      </c>
      <c r="I34" s="92">
        <f>'MONTHLY STATS'!$K$110*0.21</f>
        <v>4135177.0908</v>
      </c>
      <c r="J34" s="92">
        <f>'MONTHLY STATS'!$K$124*0.21</f>
        <v>3081877.6611</v>
      </c>
      <c r="K34" s="92">
        <f>'MONTHLY STATS'!$K$138*0.21</f>
        <v>646146.6795</v>
      </c>
      <c r="L34" s="92">
        <f>'MONTHLY STATS'!$K$152*0.21</f>
        <v>4653607.5516</v>
      </c>
      <c r="M34" s="92">
        <f>'MONTHLY STATS'!$K$166*0.21</f>
        <v>758404.4391</v>
      </c>
      <c r="N34" s="93">
        <f t="shared" si="2"/>
        <v>30778390.528199997</v>
      </c>
      <c r="O34" s="85"/>
    </row>
    <row r="35" spans="1:15" ht="15.75">
      <c r="A35" s="91">
        <f>DATE(2011,11,1)</f>
        <v>40848</v>
      </c>
      <c r="B35" s="92">
        <f>'MONTHLY STATS'!$K$13*0.21</f>
        <v>3277554.8987999996</v>
      </c>
      <c r="C35" s="92">
        <f>'MONTHLY STATS'!$K$27*0.21</f>
        <v>1344189.9176999999</v>
      </c>
      <c r="D35" s="92">
        <f>'MONTHLY STATS'!$K$41*0.21</f>
        <v>542141.3990999999</v>
      </c>
      <c r="E35" s="92">
        <f>'MONTHLY STATS'!$K$55*0.21</f>
        <v>4408420.3569</v>
      </c>
      <c r="F35" s="92">
        <f>'MONTHLY STATS'!$K$69*0.21</f>
        <v>3259143.0606</v>
      </c>
      <c r="G35" s="92">
        <f>'MONTHLY STATS'!$K$83*0.21</f>
        <v>1390660.3095</v>
      </c>
      <c r="H35" s="92">
        <f>'MONTHLY STATS'!$K$97*0.21</f>
        <v>2774602.11</v>
      </c>
      <c r="I35" s="92">
        <f>'MONTHLY STATS'!$K$111*0.21</f>
        <v>3948029.0639999993</v>
      </c>
      <c r="J35" s="92">
        <f>'MONTHLY STATS'!$K$125*0.21</f>
        <v>3397543.4661</v>
      </c>
      <c r="K35" s="92">
        <f>'MONTHLY STATS'!$K$139*0.21</f>
        <v>614932.9095000001</v>
      </c>
      <c r="L35" s="92">
        <f>'MONTHLY STATS'!$K$153*0.21</f>
        <v>4520195.7842999995</v>
      </c>
      <c r="M35" s="92">
        <f>'MONTHLY STATS'!$K$167*0.21</f>
        <v>703742.8377</v>
      </c>
      <c r="N35" s="93">
        <f t="shared" si="2"/>
        <v>30181156.114199996</v>
      </c>
      <c r="O35" s="85"/>
    </row>
    <row r="36" spans="1:15" ht="15.75">
      <c r="A36" s="91">
        <f>DATE(2011,12,1)</f>
        <v>40878</v>
      </c>
      <c r="B36" s="92">
        <f>'MONTHLY STATS'!$K$14*0.21</f>
        <v>3508193.1444</v>
      </c>
      <c r="C36" s="92">
        <f>'MONTHLY STATS'!$K$28*0.21</f>
        <v>1433532.1434</v>
      </c>
      <c r="D36" s="92">
        <f>'MONTHLY STATS'!$K$42*0.21</f>
        <v>628685.9712</v>
      </c>
      <c r="E36" s="92">
        <f>'MONTHLY STATS'!$K$56*0.21</f>
        <v>4920942.9947999995</v>
      </c>
      <c r="F36" s="92">
        <f>'MONTHLY STATS'!$K$70*0.21</f>
        <v>3460783.8551999996</v>
      </c>
      <c r="G36" s="92">
        <f>'MONTHLY STATS'!$K$84*0.21</f>
        <v>1494117.2211</v>
      </c>
      <c r="H36" s="92">
        <f>'MONTHLY STATS'!$K$98*0.21</f>
        <v>2816107.0833</v>
      </c>
      <c r="I36" s="92">
        <f>'MONTHLY STATS'!$K$112*0.21</f>
        <v>4254800.3799</v>
      </c>
      <c r="J36" s="92">
        <f>'MONTHLY STATS'!$K$126*0.21</f>
        <v>3584313.5075999997</v>
      </c>
      <c r="K36" s="92">
        <f>'MONTHLY STATS'!$K$140*0.21</f>
        <v>720887.3427</v>
      </c>
      <c r="L36" s="92">
        <f>'MONTHLY STATS'!$K$154*0.21</f>
        <v>4981512.364499999</v>
      </c>
      <c r="M36" s="92">
        <f>'MONTHLY STATS'!$K$168*0.21</f>
        <v>741116.4579</v>
      </c>
      <c r="N36" s="93">
        <f t="shared" si="2"/>
        <v>32544992.466000002</v>
      </c>
      <c r="O36" s="85"/>
    </row>
    <row r="37" spans="1:15" ht="15.75">
      <c r="A37" s="91">
        <f>DATE(2012,1,1)</f>
        <v>40909</v>
      </c>
      <c r="B37" s="92">
        <f>'MONTHLY STATS'!$K$15*0.21</f>
        <v>3328933.3581</v>
      </c>
      <c r="C37" s="92">
        <f>'MONTHLY STATS'!$K$29*0.21</f>
        <v>1436608.7631</v>
      </c>
      <c r="D37" s="92">
        <f>'MONTHLY STATS'!$K$43*0.21</f>
        <v>556836.7812</v>
      </c>
      <c r="E37" s="92">
        <f>'MONTHLY STATS'!$K$57*0.21</f>
        <v>4330806.7908</v>
      </c>
      <c r="F37" s="92">
        <f>'MONTHLY STATS'!$K$71*0.21</f>
        <v>2951777.0751</v>
      </c>
      <c r="G37" s="92">
        <f>'MONTHLY STATS'!$K$85*0.21</f>
        <v>1478696.751</v>
      </c>
      <c r="H37" s="92">
        <f>'MONTHLY STATS'!$K$99*0.21</f>
        <v>2640550.1472</v>
      </c>
      <c r="I37" s="92">
        <f>'MONTHLY STATS'!$K$113*0.21</f>
        <v>3983732.7852000003</v>
      </c>
      <c r="J37" s="92">
        <f>'MONTHLY STATS'!$K$127*0.21</f>
        <v>3342047.6459999997</v>
      </c>
      <c r="K37" s="92">
        <f>'MONTHLY STATS'!$K$141*0.21</f>
        <v>646850.7842999999</v>
      </c>
      <c r="L37" s="92">
        <f>'MONTHLY STATS'!$K$155*0.21</f>
        <v>4524634.0482</v>
      </c>
      <c r="M37" s="92">
        <f>'MONTHLY STATS'!$K$169*0.21</f>
        <v>688061.3313</v>
      </c>
      <c r="N37" s="93">
        <f>SUM(B37:M37)</f>
        <v>29909536.2615</v>
      </c>
      <c r="O37" s="85"/>
    </row>
    <row r="38" spans="1:15" ht="15.75">
      <c r="A38" s="91">
        <f>DATE(2012,2,1)</f>
        <v>40940</v>
      </c>
      <c r="B38" s="92">
        <f>'MONTHLY STATS'!$K$16*0.21</f>
        <v>3088917.8544</v>
      </c>
      <c r="C38" s="92">
        <f>'MONTHLY STATS'!$K$30*0.21</f>
        <v>1575715.0563</v>
      </c>
      <c r="D38" s="92">
        <f>'MONTHLY STATS'!$K$44*0.21</f>
        <v>741810.8313</v>
      </c>
      <c r="E38" s="92">
        <f>'MONTHLY STATS'!$K$58*0.21</f>
        <v>4811561.9769</v>
      </c>
      <c r="F38" s="92">
        <f>'MONTHLY STATS'!$K$72*0.21</f>
        <v>3222212.133</v>
      </c>
      <c r="G38" s="92">
        <f>'MONTHLY STATS'!$K$86*0.21</f>
        <v>1682718.1916999999</v>
      </c>
      <c r="H38" s="92">
        <f>'MONTHLY STATS'!$K$100*0.21</f>
        <v>3237332.3030999997</v>
      </c>
      <c r="I38" s="92">
        <f>'MONTHLY STATS'!$K$114*0.21</f>
        <v>3977483.5947</v>
      </c>
      <c r="J38" s="92">
        <f>'MONTHLY STATS'!$K$128*0.21</f>
        <v>3677043.195</v>
      </c>
      <c r="K38" s="92">
        <f>'MONTHLY STATS'!$K$142*0.21</f>
        <v>741203.7339</v>
      </c>
      <c r="L38" s="92">
        <f>'MONTHLY STATS'!$K$156*0.21</f>
        <v>4923941.7968999995</v>
      </c>
      <c r="M38" s="92">
        <f>'MONTHLY STATS'!$K$170*0.21</f>
        <v>803897.7638999999</v>
      </c>
      <c r="N38" s="93">
        <f>SUM(B38:M38)</f>
        <v>32483838.4311</v>
      </c>
      <c r="O38" s="85"/>
    </row>
    <row r="39" spans="1:15" ht="15.75">
      <c r="A39" s="91">
        <f>DATE(2012,3,1)</f>
        <v>40969</v>
      </c>
      <c r="B39" s="92">
        <f>'MONTHLY STATS'!$K$17*0.21</f>
        <v>2942941.1613</v>
      </c>
      <c r="C39" s="92">
        <f>'MONTHLY STATS'!$K$31*0.21</f>
        <v>1649161.1934</v>
      </c>
      <c r="D39" s="92">
        <f>'MONTHLY STATS'!$K$45*0.21</f>
        <v>713296.5987</v>
      </c>
      <c r="E39" s="92">
        <f>'MONTHLY STATS'!$K$59*0.21</f>
        <v>5295169.4649</v>
      </c>
      <c r="F39" s="92">
        <f>'MONTHLY STATS'!$K$73*0.21</f>
        <v>3554445.3503999994</v>
      </c>
      <c r="G39" s="92">
        <f>'MONTHLY STATS'!$K$87*0.21</f>
        <v>1666326.1923</v>
      </c>
      <c r="H39" s="92">
        <f>'MONTHLY STATS'!$K$101*0.21</f>
        <v>3224778.9693</v>
      </c>
      <c r="I39" s="92">
        <f>'MONTHLY STATS'!$K$115*0.21</f>
        <v>4272700.635</v>
      </c>
      <c r="J39" s="92">
        <f>'MONTHLY STATS'!$K$129*0.21</f>
        <v>4053604.0755</v>
      </c>
      <c r="K39" s="92">
        <f>'MONTHLY STATS'!$K$143*0.21</f>
        <v>759727.0128</v>
      </c>
      <c r="L39" s="92">
        <f>'MONTHLY STATS'!$K$157*0.21</f>
        <v>5205932.2455</v>
      </c>
      <c r="M39" s="92">
        <f>'MONTHLY STATS'!$K$171*0.21</f>
        <v>773255.5613999999</v>
      </c>
      <c r="N39" s="93">
        <f>SUM(B39:M39)</f>
        <v>34111338.460499994</v>
      </c>
      <c r="O39" s="85"/>
    </row>
    <row r="40" spans="1:15" ht="15.75">
      <c r="A40" s="91">
        <f>DATE(2012,4,1)</f>
        <v>41000</v>
      </c>
      <c r="B40" s="92">
        <f>'MONTHLY STATS'!$K$18*0.21</f>
        <v>2613989.0679</v>
      </c>
      <c r="C40" s="92">
        <f>'MONTHLY STATS'!$K$32*0.21</f>
        <v>1427903.9102999999</v>
      </c>
      <c r="D40" s="92">
        <f>'MONTHLY STATS'!$K$46*0.21</f>
        <v>646469.4243</v>
      </c>
      <c r="E40" s="92">
        <f>'MONTHLY STATS'!$K$60*0.21</f>
        <v>5058896.7828</v>
      </c>
      <c r="F40" s="92">
        <f>'MONTHLY STATS'!$K$74*0.21</f>
        <v>3309138.3003</v>
      </c>
      <c r="G40" s="92">
        <f>'MONTHLY STATS'!$K$88*0.21</f>
        <v>1486179.8532</v>
      </c>
      <c r="H40" s="92">
        <f>'MONTHLY STATS'!$K$102*0.21</f>
        <v>2815306.8594</v>
      </c>
      <c r="I40" s="92">
        <f>'MONTHLY STATS'!$K$116*0.21</f>
        <v>3799217.1105</v>
      </c>
      <c r="J40" s="92">
        <f>'MONTHLY STATS'!$K$130*0.21</f>
        <v>3595018.8624</v>
      </c>
      <c r="K40" s="92">
        <f>'MONTHLY STATS'!$K$144*0.21</f>
        <v>698868.2337</v>
      </c>
      <c r="L40" s="92">
        <f>'MONTHLY STATS'!$K$158*0.21</f>
        <v>4685422.5411</v>
      </c>
      <c r="M40" s="92">
        <f>'MONTHLY STATS'!$K$172*0.21</f>
        <v>724478.6787</v>
      </c>
      <c r="N40" s="93">
        <f>SUM(B40:M40)</f>
        <v>30860889.624599997</v>
      </c>
      <c r="O40" s="85"/>
    </row>
    <row r="41" spans="1:15" ht="15.75">
      <c r="A41" s="91">
        <f>DATE(2012,5,1)</f>
        <v>41030</v>
      </c>
      <c r="B41" s="92">
        <f>'MONTHLY STATS'!$K$19*0.21</f>
        <v>2690516.4299999997</v>
      </c>
      <c r="C41" s="92">
        <f>'MONTHLY STATS'!$K$33*0.21</f>
        <v>1458438.9939</v>
      </c>
      <c r="D41" s="92">
        <f>'MONTHLY STATS'!$K$47*0.21</f>
        <v>619675.0497</v>
      </c>
      <c r="E41" s="92">
        <f>'MONTHLY STATS'!$K$61*0.21</f>
        <v>4757833.5063000005</v>
      </c>
      <c r="F41" s="92">
        <f>'MONTHLY STATS'!$K$75*0.21</f>
        <v>3172546.3748999997</v>
      </c>
      <c r="G41" s="92">
        <f>'MONTHLY STATS'!$K$89*0.21</f>
        <v>1460720.5431000001</v>
      </c>
      <c r="H41" s="92">
        <f>'MONTHLY STATS'!$K$103*0.21</f>
        <v>2941643.019</v>
      </c>
      <c r="I41" s="92">
        <f>'MONTHLY STATS'!$K$117*0.21</f>
        <v>3723985.5009</v>
      </c>
      <c r="J41" s="92">
        <f>'MONTHLY STATS'!$K$131*0.21</f>
        <v>3817520.3325</v>
      </c>
      <c r="K41" s="92">
        <f>'MONTHLY STATS'!$K$145*0.21</f>
        <v>709489.0340999999</v>
      </c>
      <c r="L41" s="92">
        <f>'MONTHLY STATS'!$K$159*0.21</f>
        <v>4759238.8452</v>
      </c>
      <c r="M41" s="92">
        <f>'MONTHLY STATS'!$K$173*0.21</f>
        <v>697898.0946</v>
      </c>
      <c r="N41" s="93">
        <f>SUM(B41:M41)</f>
        <v>30809505.724200003</v>
      </c>
      <c r="O41" s="85"/>
    </row>
    <row r="42" spans="1:15" ht="15.75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85"/>
    </row>
    <row r="43" spans="1:15" ht="15.75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85"/>
    </row>
    <row r="44" spans="1:15" ht="15.75">
      <c r="A44" s="94" t="s">
        <v>31</v>
      </c>
      <c r="B44" s="93">
        <f aca="true" t="shared" si="3" ref="B44:N44">SUM(B31:B42)</f>
        <v>34973196.1635</v>
      </c>
      <c r="C44" s="93">
        <f t="shared" si="3"/>
        <v>16202769.811199998</v>
      </c>
      <c r="D44" s="93">
        <f t="shared" si="3"/>
        <v>6832399.526400001</v>
      </c>
      <c r="E44" s="93">
        <f t="shared" si="3"/>
        <v>52316324.06910001</v>
      </c>
      <c r="F44" s="93">
        <f t="shared" si="3"/>
        <v>36609108.845400006</v>
      </c>
      <c r="G44" s="93">
        <f t="shared" si="3"/>
        <v>16612168.874699999</v>
      </c>
      <c r="H44" s="93">
        <f>SUM(H31:H42)</f>
        <v>32503598.202600006</v>
      </c>
      <c r="I44" s="93">
        <f t="shared" si="3"/>
        <v>44479330.1022</v>
      </c>
      <c r="J44" s="93">
        <f>SUM(J31:J42)</f>
        <v>39023988.353700005</v>
      </c>
      <c r="K44" s="93">
        <f t="shared" si="3"/>
        <v>7535775.004799999</v>
      </c>
      <c r="L44" s="93">
        <f t="shared" si="3"/>
        <v>52764918.255</v>
      </c>
      <c r="M44" s="93">
        <f t="shared" si="3"/>
        <v>5965871.736299999</v>
      </c>
      <c r="N44" s="93">
        <f t="shared" si="3"/>
        <v>345819448.9449</v>
      </c>
      <c r="O44" s="85"/>
    </row>
    <row r="45" spans="1:15" ht="16.5" thickBot="1">
      <c r="A45" s="95"/>
      <c r="B45" s="93"/>
      <c r="C45" s="93"/>
      <c r="D45" s="93"/>
      <c r="E45" s="92"/>
      <c r="F45" s="92"/>
      <c r="G45" s="92"/>
      <c r="H45" s="92"/>
      <c r="I45" s="93"/>
      <c r="J45" s="93"/>
      <c r="K45" s="93"/>
      <c r="L45" s="93"/>
      <c r="M45" s="93"/>
      <c r="N45" s="93"/>
      <c r="O45" s="85"/>
    </row>
    <row r="46" spans="1:14" ht="15.75" thickTop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8" ht="15.75">
      <c r="A47" s="118" t="s">
        <v>33</v>
      </c>
      <c r="B47" s="101"/>
      <c r="C47" s="101"/>
      <c r="D47" s="101"/>
      <c r="E47" s="101"/>
      <c r="F47" s="101"/>
      <c r="G47" s="101"/>
      <c r="H47" s="101"/>
    </row>
    <row r="48" spans="1:8" ht="15.75">
      <c r="A48" s="118"/>
      <c r="B48" s="101"/>
      <c r="C48" s="101"/>
      <c r="D48" s="101"/>
      <c r="E48" s="101"/>
      <c r="F48" s="101"/>
      <c r="G48" s="101"/>
      <c r="H48" s="101"/>
    </row>
    <row r="49" ht="15.75">
      <c r="A49" s="74"/>
    </row>
  </sheetData>
  <sheetProtection/>
  <printOptions horizontalCentered="1"/>
  <pageMargins left="0.4" right="0.3" top="0.319444444444444" bottom="0.25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5"/>
  <sheetViews>
    <sheetView showOutlineSymbols="0" zoomScale="87" zoomScaleNormal="87" zoomScalePageLayoutView="0" workbookViewId="0" topLeftCell="A1">
      <selection activeCell="A3" sqref="A3"/>
    </sheetView>
  </sheetViews>
  <sheetFormatPr defaultColWidth="9.6640625" defaultRowHeight="15"/>
  <cols>
    <col min="1" max="1" width="27.6640625" style="121" customWidth="1"/>
    <col min="2" max="2" width="9.6640625" style="121" customWidth="1"/>
    <col min="3" max="3" width="16.6640625" style="215" customWidth="1"/>
    <col min="4" max="5" width="15.6640625" style="215" customWidth="1"/>
    <col min="6" max="6" width="9.6640625" style="121" customWidth="1"/>
    <col min="7" max="7" width="10.5546875" style="227" customWidth="1"/>
    <col min="8" max="16384" width="9.6640625" style="121" customWidth="1"/>
  </cols>
  <sheetData>
    <row r="1" spans="1:7" ht="18">
      <c r="A1" s="119" t="s">
        <v>0</v>
      </c>
      <c r="B1" s="120"/>
      <c r="C1" s="206"/>
      <c r="D1" s="206"/>
      <c r="E1" s="206"/>
      <c r="F1" s="120"/>
      <c r="G1" s="216"/>
    </row>
    <row r="2" spans="1:7" ht="18" customHeight="1">
      <c r="A2" s="122" t="s">
        <v>34</v>
      </c>
      <c r="B2" s="120"/>
      <c r="C2" s="206"/>
      <c r="D2" s="206"/>
      <c r="E2" s="206"/>
      <c r="F2" s="120"/>
      <c r="G2" s="216"/>
    </row>
    <row r="3" spans="1:7" ht="18" customHeight="1">
      <c r="A3" s="119" t="s">
        <v>73</v>
      </c>
      <c r="B3" s="120"/>
      <c r="C3" s="206"/>
      <c r="D3" s="206"/>
      <c r="E3" s="206"/>
      <c r="F3" s="120"/>
      <c r="G3" s="216"/>
    </row>
    <row r="4" spans="1:7" ht="15">
      <c r="A4" s="123" t="s">
        <v>74</v>
      </c>
      <c r="B4" s="120"/>
      <c r="C4" s="206"/>
      <c r="D4" s="206"/>
      <c r="E4" s="206"/>
      <c r="F4" s="120"/>
      <c r="G4" s="216"/>
    </row>
    <row r="5" spans="1:7" ht="15.75">
      <c r="A5" s="120"/>
      <c r="B5" s="120"/>
      <c r="C5" s="206"/>
      <c r="D5" s="206"/>
      <c r="E5" s="206"/>
      <c r="F5" s="120"/>
      <c r="G5" s="217" t="s">
        <v>1</v>
      </c>
    </row>
    <row r="6" spans="1:8" ht="16.5" thickTop="1">
      <c r="A6" s="124"/>
      <c r="B6" s="125" t="s">
        <v>2</v>
      </c>
      <c r="C6" s="207" t="s">
        <v>35</v>
      </c>
      <c r="D6" s="207" t="s">
        <v>35</v>
      </c>
      <c r="E6" s="207" t="s">
        <v>3</v>
      </c>
      <c r="F6" s="126"/>
      <c r="G6" s="218" t="s">
        <v>36</v>
      </c>
      <c r="H6" s="127"/>
    </row>
    <row r="7" spans="1:8" ht="16.5" thickBot="1">
      <c r="A7" s="128" t="s">
        <v>5</v>
      </c>
      <c r="B7" s="129" t="s">
        <v>6</v>
      </c>
      <c r="C7" s="270" t="s">
        <v>37</v>
      </c>
      <c r="D7" s="208" t="s">
        <v>38</v>
      </c>
      <c r="E7" s="208" t="s">
        <v>38</v>
      </c>
      <c r="F7" s="130" t="s">
        <v>8</v>
      </c>
      <c r="G7" s="219" t="s">
        <v>39</v>
      </c>
      <c r="H7" s="127"/>
    </row>
    <row r="8" spans="1:8" ht="16.5" thickTop="1">
      <c r="A8" s="131"/>
      <c r="B8" s="132"/>
      <c r="C8" s="209"/>
      <c r="D8" s="209"/>
      <c r="E8" s="209"/>
      <c r="F8" s="133"/>
      <c r="G8" s="220"/>
      <c r="H8" s="127"/>
    </row>
    <row r="9" spans="1:8" ht="15.75">
      <c r="A9" s="134" t="s">
        <v>40</v>
      </c>
      <c r="B9" s="135">
        <f>DATE(2011,7,1)</f>
        <v>40725</v>
      </c>
      <c r="C9" s="210">
        <v>8355879.5</v>
      </c>
      <c r="D9" s="210">
        <v>1221664.43</v>
      </c>
      <c r="E9" s="210">
        <v>1350919.59</v>
      </c>
      <c r="F9" s="136">
        <f aca="true" t="shared" si="0" ref="F9:F19">(+D9-E9)/E9</f>
        <v>-0.09567938828986863</v>
      </c>
      <c r="G9" s="221">
        <f aca="true" t="shared" si="1" ref="G9:G19">D9/C9</f>
        <v>0.14620417036890013</v>
      </c>
      <c r="H9" s="127"/>
    </row>
    <row r="10" spans="1:8" ht="15.75">
      <c r="A10" s="134"/>
      <c r="B10" s="135">
        <f>DATE(2011,8,1)</f>
        <v>40756</v>
      </c>
      <c r="C10" s="210">
        <v>7754832</v>
      </c>
      <c r="D10" s="210">
        <v>1600541.66</v>
      </c>
      <c r="E10" s="210">
        <v>1173990.59</v>
      </c>
      <c r="F10" s="136">
        <f t="shared" si="0"/>
        <v>0.363334317696703</v>
      </c>
      <c r="G10" s="221">
        <f t="shared" si="1"/>
        <v>0.20639282192057803</v>
      </c>
      <c r="H10" s="127"/>
    </row>
    <row r="11" spans="1:8" ht="15.75">
      <c r="A11" s="134"/>
      <c r="B11" s="135">
        <f>DATE(2011,9,1)</f>
        <v>40787</v>
      </c>
      <c r="C11" s="210">
        <v>7280036</v>
      </c>
      <c r="D11" s="210">
        <v>1437984.28</v>
      </c>
      <c r="E11" s="210">
        <v>1462339.82</v>
      </c>
      <c r="F11" s="136">
        <f t="shared" si="0"/>
        <v>-0.016655184839321435</v>
      </c>
      <c r="G11" s="221">
        <f t="shared" si="1"/>
        <v>0.19752433641811662</v>
      </c>
      <c r="H11" s="127"/>
    </row>
    <row r="12" spans="1:8" ht="15.75">
      <c r="A12" s="134"/>
      <c r="B12" s="135">
        <f>DATE(2011,10,1)</f>
        <v>40817</v>
      </c>
      <c r="C12" s="210">
        <v>7226703</v>
      </c>
      <c r="D12" s="210">
        <v>1361593.98</v>
      </c>
      <c r="E12" s="210">
        <v>1677279.8</v>
      </c>
      <c r="F12" s="136">
        <f t="shared" si="0"/>
        <v>-0.1882129743648019</v>
      </c>
      <c r="G12" s="221">
        <f t="shared" si="1"/>
        <v>0.18841150383515137</v>
      </c>
      <c r="H12" s="127"/>
    </row>
    <row r="13" spans="1:8" ht="15.75">
      <c r="A13" s="134"/>
      <c r="B13" s="135">
        <f>DATE(2011,11,1)</f>
        <v>40848</v>
      </c>
      <c r="C13" s="210">
        <v>7670034</v>
      </c>
      <c r="D13" s="210">
        <v>1478957.48</v>
      </c>
      <c r="E13" s="210">
        <v>1594646.4</v>
      </c>
      <c r="F13" s="136">
        <f t="shared" si="0"/>
        <v>-0.07254832168435581</v>
      </c>
      <c r="G13" s="221">
        <f t="shared" si="1"/>
        <v>0.19282280626135426</v>
      </c>
      <c r="H13" s="127"/>
    </row>
    <row r="14" spans="1:8" ht="15.75">
      <c r="A14" s="134"/>
      <c r="B14" s="135">
        <f>DATE(2011,12,1)</f>
        <v>40878</v>
      </c>
      <c r="C14" s="210">
        <v>8283665.5</v>
      </c>
      <c r="D14" s="210">
        <v>1495584.44</v>
      </c>
      <c r="E14" s="210">
        <v>1538987.36</v>
      </c>
      <c r="F14" s="136">
        <f t="shared" si="0"/>
        <v>-0.028202258919137684</v>
      </c>
      <c r="G14" s="221">
        <f t="shared" si="1"/>
        <v>0.18054621350898342</v>
      </c>
      <c r="H14" s="127"/>
    </row>
    <row r="15" spans="1:8" ht="15.75">
      <c r="A15" s="134"/>
      <c r="B15" s="135">
        <f>DATE(2012,1,1)</f>
        <v>40909</v>
      </c>
      <c r="C15" s="210">
        <v>8142031</v>
      </c>
      <c r="D15" s="210">
        <v>1449730.31</v>
      </c>
      <c r="E15" s="210">
        <v>1531811.25</v>
      </c>
      <c r="F15" s="136">
        <f t="shared" si="0"/>
        <v>-0.05358423891977549</v>
      </c>
      <c r="G15" s="221">
        <f t="shared" si="1"/>
        <v>0.17805512039932053</v>
      </c>
      <c r="H15" s="127"/>
    </row>
    <row r="16" spans="1:8" ht="15.75">
      <c r="A16" s="134"/>
      <c r="B16" s="135">
        <f>DATE(2012,2,1)</f>
        <v>40940</v>
      </c>
      <c r="C16" s="210">
        <v>7432956</v>
      </c>
      <c r="D16" s="210">
        <v>1338314.2</v>
      </c>
      <c r="E16" s="210">
        <v>1376966.96</v>
      </c>
      <c r="F16" s="136">
        <f t="shared" si="0"/>
        <v>-0.028070942239601746</v>
      </c>
      <c r="G16" s="221">
        <f t="shared" si="1"/>
        <v>0.1800514088876619</v>
      </c>
      <c r="H16" s="127"/>
    </row>
    <row r="17" spans="1:8" ht="15.75">
      <c r="A17" s="134"/>
      <c r="B17" s="135">
        <f>DATE(2012,3,1)</f>
        <v>40969</v>
      </c>
      <c r="C17" s="210">
        <v>7064816</v>
      </c>
      <c r="D17" s="210">
        <v>1331211.67</v>
      </c>
      <c r="E17" s="210">
        <v>1528379.53</v>
      </c>
      <c r="F17" s="136">
        <f t="shared" si="0"/>
        <v>-0.12900451499765905</v>
      </c>
      <c r="G17" s="221">
        <f t="shared" si="1"/>
        <v>0.18842835680363082</v>
      </c>
      <c r="H17" s="127"/>
    </row>
    <row r="18" spans="1:8" ht="15.75">
      <c r="A18" s="134"/>
      <c r="B18" s="135">
        <f>DATE(2012,4,1)</f>
        <v>41000</v>
      </c>
      <c r="C18" s="210">
        <v>6018625</v>
      </c>
      <c r="D18" s="210">
        <v>1272692.04</v>
      </c>
      <c r="E18" s="210">
        <v>1743380.99</v>
      </c>
      <c r="F18" s="136">
        <f t="shared" si="0"/>
        <v>-0.2699862810824844</v>
      </c>
      <c r="G18" s="221">
        <f t="shared" si="1"/>
        <v>0.21145893621882075</v>
      </c>
      <c r="H18" s="127"/>
    </row>
    <row r="19" spans="1:8" ht="15.75">
      <c r="A19" s="134"/>
      <c r="B19" s="135">
        <f>DATE(2012,5,1)</f>
        <v>41030</v>
      </c>
      <c r="C19" s="210">
        <v>5585630</v>
      </c>
      <c r="D19" s="210">
        <v>1246016.56</v>
      </c>
      <c r="E19" s="210">
        <v>1615820.35</v>
      </c>
      <c r="F19" s="136">
        <f t="shared" si="0"/>
        <v>-0.22886442171618895</v>
      </c>
      <c r="G19" s="221">
        <f t="shared" si="1"/>
        <v>0.22307538451347478</v>
      </c>
      <c r="H19" s="127"/>
    </row>
    <row r="20" spans="1:8" ht="15.75" thickBot="1">
      <c r="A20" s="137"/>
      <c r="B20" s="138"/>
      <c r="C20" s="210"/>
      <c r="D20" s="210"/>
      <c r="E20" s="210"/>
      <c r="F20" s="136"/>
      <c r="G20" s="221"/>
      <c r="H20" s="127"/>
    </row>
    <row r="21" spans="1:8" ht="17.25" thickBot="1" thickTop="1">
      <c r="A21" s="139" t="s">
        <v>14</v>
      </c>
      <c r="B21" s="140"/>
      <c r="C21" s="207">
        <f>SUM(C9:C20)</f>
        <v>80815208</v>
      </c>
      <c r="D21" s="207">
        <f>SUM(D9:D20)</f>
        <v>15234291.049999999</v>
      </c>
      <c r="E21" s="207">
        <f>SUM(E9:E20)</f>
        <v>16594522.639999999</v>
      </c>
      <c r="F21" s="141">
        <f>(+D21-E21)/E21</f>
        <v>-0.08196870856177879</v>
      </c>
      <c r="G21" s="218">
        <f>D21/C21</f>
        <v>0.18850772555086412</v>
      </c>
      <c r="H21" s="127"/>
    </row>
    <row r="22" spans="1:8" ht="16.5" thickTop="1">
      <c r="A22" s="142"/>
      <c r="B22" s="143"/>
      <c r="C22" s="211"/>
      <c r="D22" s="211"/>
      <c r="E22" s="211"/>
      <c r="F22" s="144"/>
      <c r="G22" s="222"/>
      <c r="H22" s="127"/>
    </row>
    <row r="23" spans="1:8" ht="15.75">
      <c r="A23" s="20" t="s">
        <v>15</v>
      </c>
      <c r="B23" s="135">
        <f>DATE(2011,7,1)</f>
        <v>40725</v>
      </c>
      <c r="C23" s="210">
        <v>2594002</v>
      </c>
      <c r="D23" s="210">
        <v>412315.5</v>
      </c>
      <c r="E23" s="210">
        <v>531577</v>
      </c>
      <c r="F23" s="136">
        <f aca="true" t="shared" si="2" ref="F23:F33">(+D23-E23)/E23</f>
        <v>-0.22435413872308246</v>
      </c>
      <c r="G23" s="221">
        <f aca="true" t="shared" si="3" ref="G23:G33">D23/C23</f>
        <v>0.15894956904427984</v>
      </c>
      <c r="H23" s="127"/>
    </row>
    <row r="24" spans="1:8" ht="15.75">
      <c r="A24" s="20"/>
      <c r="B24" s="135">
        <f>DATE(2011,8,1)</f>
        <v>40756</v>
      </c>
      <c r="C24" s="210">
        <v>2145019</v>
      </c>
      <c r="D24" s="210">
        <v>566530</v>
      </c>
      <c r="E24" s="210">
        <v>521544</v>
      </c>
      <c r="F24" s="136">
        <f t="shared" si="2"/>
        <v>0.086255426196064</v>
      </c>
      <c r="G24" s="221">
        <f t="shared" si="3"/>
        <v>0.2641142106433556</v>
      </c>
      <c r="H24" s="127"/>
    </row>
    <row r="25" spans="1:8" ht="15.75">
      <c r="A25" s="20"/>
      <c r="B25" s="135">
        <f>DATE(2011,9,1)</f>
        <v>40787</v>
      </c>
      <c r="C25" s="210">
        <v>2155598</v>
      </c>
      <c r="D25" s="210">
        <v>488637</v>
      </c>
      <c r="E25" s="210">
        <v>430290</v>
      </c>
      <c r="F25" s="136">
        <f t="shared" si="2"/>
        <v>0.135599247019452</v>
      </c>
      <c r="G25" s="221">
        <f t="shared" si="3"/>
        <v>0.2266828044932311</v>
      </c>
      <c r="H25" s="127"/>
    </row>
    <row r="26" spans="1:8" ht="15.75">
      <c r="A26" s="20"/>
      <c r="B26" s="135">
        <f>DATE(2011,10,1)</f>
        <v>40817</v>
      </c>
      <c r="C26" s="210">
        <v>2123562</v>
      </c>
      <c r="D26" s="210">
        <v>320525</v>
      </c>
      <c r="E26" s="210">
        <v>463252.5</v>
      </c>
      <c r="F26" s="136">
        <f t="shared" si="2"/>
        <v>-0.3080987150635992</v>
      </c>
      <c r="G26" s="221">
        <f t="shared" si="3"/>
        <v>0.15093743436735071</v>
      </c>
      <c r="H26" s="127"/>
    </row>
    <row r="27" spans="1:8" ht="15.75">
      <c r="A27" s="20"/>
      <c r="B27" s="135">
        <f>DATE(2011,11,1)</f>
        <v>40848</v>
      </c>
      <c r="C27" s="210">
        <v>2319371</v>
      </c>
      <c r="D27" s="210">
        <v>560277</v>
      </c>
      <c r="E27" s="210">
        <v>416632.5</v>
      </c>
      <c r="F27" s="136">
        <f t="shared" si="2"/>
        <v>0.34477507155586756</v>
      </c>
      <c r="G27" s="221">
        <f t="shared" si="3"/>
        <v>0.2415641999490379</v>
      </c>
      <c r="H27" s="127"/>
    </row>
    <row r="28" spans="1:8" ht="15.75">
      <c r="A28" s="20"/>
      <c r="B28" s="135">
        <f>DATE(2011,12,1)</f>
        <v>40878</v>
      </c>
      <c r="C28" s="210">
        <v>2341072</v>
      </c>
      <c r="D28" s="210">
        <v>522133.5</v>
      </c>
      <c r="E28" s="210">
        <v>392035</v>
      </c>
      <c r="F28" s="136">
        <f t="shared" si="2"/>
        <v>0.3318542987233283</v>
      </c>
      <c r="G28" s="221">
        <f t="shared" si="3"/>
        <v>0.22303179910741747</v>
      </c>
      <c r="H28" s="127"/>
    </row>
    <row r="29" spans="1:8" ht="15.75">
      <c r="A29" s="20"/>
      <c r="B29" s="135">
        <f>DATE(2012,1,1)</f>
        <v>40909</v>
      </c>
      <c r="C29" s="210">
        <v>2259894</v>
      </c>
      <c r="D29" s="210">
        <v>564888</v>
      </c>
      <c r="E29" s="210">
        <v>490341.5</v>
      </c>
      <c r="F29" s="136">
        <f t="shared" si="2"/>
        <v>0.15202975885173906</v>
      </c>
      <c r="G29" s="221">
        <f t="shared" si="3"/>
        <v>0.2499621663670951</v>
      </c>
      <c r="H29" s="127"/>
    </row>
    <row r="30" spans="1:8" ht="15.75">
      <c r="A30" s="20"/>
      <c r="B30" s="135">
        <f>DATE(2012,2,1)</f>
        <v>40940</v>
      </c>
      <c r="C30" s="210">
        <v>2671598</v>
      </c>
      <c r="D30" s="210">
        <v>588087</v>
      </c>
      <c r="E30" s="210">
        <v>530478</v>
      </c>
      <c r="F30" s="136">
        <f t="shared" si="2"/>
        <v>0.10859828305792135</v>
      </c>
      <c r="G30" s="221">
        <f t="shared" si="3"/>
        <v>0.22012555781221577</v>
      </c>
      <c r="H30" s="127"/>
    </row>
    <row r="31" spans="1:8" ht="15.75">
      <c r="A31" s="20"/>
      <c r="B31" s="135">
        <f>DATE(2012,3,1)</f>
        <v>40969</v>
      </c>
      <c r="C31" s="210">
        <v>2953052</v>
      </c>
      <c r="D31" s="210">
        <v>540683</v>
      </c>
      <c r="E31" s="210">
        <v>525941.5</v>
      </c>
      <c r="F31" s="136">
        <f t="shared" si="2"/>
        <v>0.028028782668794914</v>
      </c>
      <c r="G31" s="221">
        <f t="shared" si="3"/>
        <v>0.18309294926062933</v>
      </c>
      <c r="H31" s="127"/>
    </row>
    <row r="32" spans="1:8" ht="15.75">
      <c r="A32" s="20"/>
      <c r="B32" s="135">
        <f>DATE(2012,4,1)</f>
        <v>41000</v>
      </c>
      <c r="C32" s="210">
        <v>2472734</v>
      </c>
      <c r="D32" s="210">
        <v>477236</v>
      </c>
      <c r="E32" s="210">
        <v>575227.5</v>
      </c>
      <c r="F32" s="136">
        <f t="shared" si="2"/>
        <v>-0.17035259962362717</v>
      </c>
      <c r="G32" s="221">
        <f t="shared" si="3"/>
        <v>0.19299932786947566</v>
      </c>
      <c r="H32" s="127"/>
    </row>
    <row r="33" spans="1:8" ht="15.75">
      <c r="A33" s="20"/>
      <c r="B33" s="135">
        <f>DATE(2012,5,1)</f>
        <v>41030</v>
      </c>
      <c r="C33" s="210">
        <v>2428714</v>
      </c>
      <c r="D33" s="210">
        <v>389413</v>
      </c>
      <c r="E33" s="210">
        <v>393038.5</v>
      </c>
      <c r="F33" s="136">
        <f t="shared" si="2"/>
        <v>-0.009224287188150779</v>
      </c>
      <c r="G33" s="221">
        <f t="shared" si="3"/>
        <v>0.1603371166798561</v>
      </c>
      <c r="H33" s="127"/>
    </row>
    <row r="34" spans="1:8" ht="15.75" thickBot="1">
      <c r="A34" s="137"/>
      <c r="B34" s="135"/>
      <c r="C34" s="210"/>
      <c r="D34" s="210"/>
      <c r="E34" s="210"/>
      <c r="F34" s="136"/>
      <c r="G34" s="221"/>
      <c r="H34" s="127"/>
    </row>
    <row r="35" spans="1:8" ht="17.25" thickBot="1" thickTop="1">
      <c r="A35" s="139" t="s">
        <v>14</v>
      </c>
      <c r="B35" s="140"/>
      <c r="C35" s="207">
        <f>SUM(C23:C34)</f>
        <v>26464616</v>
      </c>
      <c r="D35" s="207">
        <f>SUM(D23:D34)</f>
        <v>5430725</v>
      </c>
      <c r="E35" s="207">
        <f>SUM(E23:E34)</f>
        <v>5270358</v>
      </c>
      <c r="F35" s="141">
        <f>(+D35-E35)/E35</f>
        <v>0.03042810374551406</v>
      </c>
      <c r="G35" s="218">
        <f>D35/C35</f>
        <v>0.20520702057418858</v>
      </c>
      <c r="H35" s="127"/>
    </row>
    <row r="36" spans="1:8" ht="16.5" thickTop="1">
      <c r="A36" s="261"/>
      <c r="B36" s="143"/>
      <c r="C36" s="211"/>
      <c r="D36" s="211"/>
      <c r="E36" s="211"/>
      <c r="F36" s="144"/>
      <c r="G36" s="225"/>
      <c r="H36" s="127"/>
    </row>
    <row r="37" spans="1:8" ht="15.75">
      <c r="A37" s="20" t="s">
        <v>64</v>
      </c>
      <c r="B37" s="135">
        <f>DATE(2011,7,1)</f>
        <v>40725</v>
      </c>
      <c r="C37" s="210">
        <v>1178047</v>
      </c>
      <c r="D37" s="210">
        <v>335184</v>
      </c>
      <c r="E37" s="210">
        <v>339603</v>
      </c>
      <c r="F37" s="136">
        <f aca="true" t="shared" si="4" ref="F37:F47">(+D37-E37)/E37</f>
        <v>-0.013012252541938675</v>
      </c>
      <c r="G37" s="221">
        <f aca="true" t="shared" si="5" ref="G37:G47">D37/C37</f>
        <v>0.2845251505245546</v>
      </c>
      <c r="H37" s="127"/>
    </row>
    <row r="38" spans="1:8" ht="15.75">
      <c r="A38" s="20"/>
      <c r="B38" s="135">
        <f>DATE(2011,8,1)</f>
        <v>40756</v>
      </c>
      <c r="C38" s="210">
        <v>1115399</v>
      </c>
      <c r="D38" s="210">
        <v>321792</v>
      </c>
      <c r="E38" s="210">
        <v>271498</v>
      </c>
      <c r="F38" s="136">
        <f t="shared" si="4"/>
        <v>0.18524630015690724</v>
      </c>
      <c r="G38" s="221">
        <f t="shared" si="5"/>
        <v>0.28849945176569103</v>
      </c>
      <c r="H38" s="127"/>
    </row>
    <row r="39" spans="1:8" ht="15.75">
      <c r="A39" s="20"/>
      <c r="B39" s="135">
        <f>DATE(2011,9,1)</f>
        <v>40787</v>
      </c>
      <c r="C39" s="210">
        <v>1188336</v>
      </c>
      <c r="D39" s="210">
        <v>243135</v>
      </c>
      <c r="E39" s="210">
        <v>283508.5</v>
      </c>
      <c r="F39" s="136">
        <f t="shared" si="4"/>
        <v>-0.1424066650558978</v>
      </c>
      <c r="G39" s="221">
        <f t="shared" si="5"/>
        <v>0.20460122389627175</v>
      </c>
      <c r="H39" s="127"/>
    </row>
    <row r="40" spans="1:8" ht="15.75">
      <c r="A40" s="20"/>
      <c r="B40" s="135">
        <f>DATE(2011,10,1)</f>
        <v>40817</v>
      </c>
      <c r="C40" s="210">
        <v>1068605</v>
      </c>
      <c r="D40" s="210">
        <v>311428.5</v>
      </c>
      <c r="E40" s="210">
        <v>315362</v>
      </c>
      <c r="F40" s="136">
        <f t="shared" si="4"/>
        <v>-0.012472967573772363</v>
      </c>
      <c r="G40" s="221">
        <f t="shared" si="5"/>
        <v>0.29143462738804327</v>
      </c>
      <c r="H40" s="127"/>
    </row>
    <row r="41" spans="1:8" ht="15.75">
      <c r="A41" s="20"/>
      <c r="B41" s="135">
        <f>DATE(2011,11,1)</f>
        <v>40848</v>
      </c>
      <c r="C41" s="210">
        <v>1083852</v>
      </c>
      <c r="D41" s="210">
        <v>249421.5</v>
      </c>
      <c r="E41" s="210">
        <v>305797.5</v>
      </c>
      <c r="F41" s="136">
        <f t="shared" si="4"/>
        <v>-0.18435729526892797</v>
      </c>
      <c r="G41" s="221">
        <f t="shared" si="5"/>
        <v>0.23012505397415883</v>
      </c>
      <c r="H41" s="127"/>
    </row>
    <row r="42" spans="1:8" ht="15.75">
      <c r="A42" s="20"/>
      <c r="B42" s="135">
        <f>DATE(2011,12,1)</f>
        <v>40878</v>
      </c>
      <c r="C42" s="210">
        <v>1154041</v>
      </c>
      <c r="D42" s="210">
        <v>322331</v>
      </c>
      <c r="E42" s="210">
        <v>372707</v>
      </c>
      <c r="F42" s="136">
        <f t="shared" si="4"/>
        <v>-0.13516247347111807</v>
      </c>
      <c r="G42" s="221">
        <f t="shared" si="5"/>
        <v>0.2793063677980245</v>
      </c>
      <c r="H42" s="127"/>
    </row>
    <row r="43" spans="1:8" ht="15.75">
      <c r="A43" s="20"/>
      <c r="B43" s="135">
        <f>DATE(2012,1,1)</f>
        <v>40909</v>
      </c>
      <c r="C43" s="210">
        <v>989582</v>
      </c>
      <c r="D43" s="210">
        <v>224101.5</v>
      </c>
      <c r="E43" s="210">
        <v>295429</v>
      </c>
      <c r="F43" s="136">
        <f t="shared" si="4"/>
        <v>-0.24143702886311094</v>
      </c>
      <c r="G43" s="221">
        <f t="shared" si="5"/>
        <v>0.22646076828398254</v>
      </c>
      <c r="H43" s="127"/>
    </row>
    <row r="44" spans="1:8" ht="15.75">
      <c r="A44" s="20"/>
      <c r="B44" s="135">
        <f>DATE(2012,2,1)</f>
        <v>40940</v>
      </c>
      <c r="C44" s="210">
        <v>1328136</v>
      </c>
      <c r="D44" s="210">
        <v>336285.5</v>
      </c>
      <c r="E44" s="210">
        <v>338388</v>
      </c>
      <c r="F44" s="136">
        <f t="shared" si="4"/>
        <v>-0.006213281794862702</v>
      </c>
      <c r="G44" s="221">
        <f t="shared" si="5"/>
        <v>0.2532011028991007</v>
      </c>
      <c r="H44" s="127"/>
    </row>
    <row r="45" spans="1:8" ht="15.75">
      <c r="A45" s="20"/>
      <c r="B45" s="135">
        <f>DATE(2012,3,1)</f>
        <v>40969</v>
      </c>
      <c r="C45" s="210">
        <v>1418816</v>
      </c>
      <c r="D45" s="210">
        <v>388997</v>
      </c>
      <c r="E45" s="210">
        <v>415608</v>
      </c>
      <c r="F45" s="136">
        <f t="shared" si="4"/>
        <v>-0.06402908509942061</v>
      </c>
      <c r="G45" s="221">
        <f t="shared" si="5"/>
        <v>0.27417015314177456</v>
      </c>
      <c r="H45" s="127"/>
    </row>
    <row r="46" spans="1:8" ht="15.75">
      <c r="A46" s="20"/>
      <c r="B46" s="135">
        <f>DATE(2012,4,1)</f>
        <v>41000</v>
      </c>
      <c r="C46" s="210">
        <v>1176025</v>
      </c>
      <c r="D46" s="210">
        <v>363264</v>
      </c>
      <c r="E46" s="210">
        <v>332648</v>
      </c>
      <c r="F46" s="136">
        <f t="shared" si="4"/>
        <v>0.09203722854188211</v>
      </c>
      <c r="G46" s="221">
        <f t="shared" si="5"/>
        <v>0.3088913926149529</v>
      </c>
      <c r="H46" s="127"/>
    </row>
    <row r="47" spans="1:8" ht="15.75">
      <c r="A47" s="20"/>
      <c r="B47" s="135">
        <f>DATE(2012,5,1)</f>
        <v>41030</v>
      </c>
      <c r="C47" s="210">
        <v>1112626</v>
      </c>
      <c r="D47" s="210">
        <v>301854</v>
      </c>
      <c r="E47" s="210">
        <v>219569.5</v>
      </c>
      <c r="F47" s="136">
        <f t="shared" si="4"/>
        <v>0.37475377955499284</v>
      </c>
      <c r="G47" s="221">
        <f t="shared" si="5"/>
        <v>0.2712987113369632</v>
      </c>
      <c r="H47" s="127"/>
    </row>
    <row r="48" spans="1:8" ht="15.75" thickBot="1">
      <c r="A48" s="137"/>
      <c r="B48" s="135"/>
      <c r="C48" s="210"/>
      <c r="D48" s="210"/>
      <c r="E48" s="210"/>
      <c r="F48" s="136"/>
      <c r="G48" s="221"/>
      <c r="H48" s="127"/>
    </row>
    <row r="49" spans="1:8" ht="17.25" thickBot="1" thickTop="1">
      <c r="A49" s="145" t="s">
        <v>14</v>
      </c>
      <c r="B49" s="146"/>
      <c r="C49" s="212">
        <f>SUM(C37:C48)</f>
        <v>12813465</v>
      </c>
      <c r="D49" s="212">
        <f>SUM(D37:D48)</f>
        <v>3397794</v>
      </c>
      <c r="E49" s="212">
        <f>SUM(E37:E48)</f>
        <v>3490118.5</v>
      </c>
      <c r="F49" s="147">
        <f>(+D49-E49)/E49</f>
        <v>-0.026453113268217112</v>
      </c>
      <c r="G49" s="223">
        <f>D49/C49</f>
        <v>0.26517370594136713</v>
      </c>
      <c r="H49" s="127"/>
    </row>
    <row r="50" spans="1:8" ht="15.75" thickTop="1">
      <c r="A50" s="137"/>
      <c r="B50" s="138"/>
      <c r="C50" s="210"/>
      <c r="D50" s="210"/>
      <c r="E50" s="210"/>
      <c r="F50" s="136"/>
      <c r="G50" s="224"/>
      <c r="H50" s="127"/>
    </row>
    <row r="51" spans="1:8" ht="15.75">
      <c r="A51" s="148" t="s">
        <v>41</v>
      </c>
      <c r="B51" s="135">
        <f>DATE(2011,7,1)</f>
        <v>40725</v>
      </c>
      <c r="C51" s="210">
        <v>13899072</v>
      </c>
      <c r="D51" s="210">
        <v>2744734.3</v>
      </c>
      <c r="E51" s="210">
        <v>3149418.1</v>
      </c>
      <c r="F51" s="136">
        <f aca="true" t="shared" si="6" ref="F51:F61">(+D51-E51)/E51</f>
        <v>-0.12849478448098087</v>
      </c>
      <c r="G51" s="221">
        <f aca="true" t="shared" si="7" ref="G51:G61">D51/C51</f>
        <v>0.19747608329534516</v>
      </c>
      <c r="H51" s="127"/>
    </row>
    <row r="52" spans="1:8" ht="15.75">
      <c r="A52" s="148"/>
      <c r="B52" s="135">
        <f>DATE(2011,8,1)</f>
        <v>40756</v>
      </c>
      <c r="C52" s="210">
        <v>12859601</v>
      </c>
      <c r="D52" s="210">
        <v>2467219.24</v>
      </c>
      <c r="E52" s="210">
        <v>2619140</v>
      </c>
      <c r="F52" s="136">
        <f t="shared" si="6"/>
        <v>-0.05800406240216246</v>
      </c>
      <c r="G52" s="221">
        <f t="shared" si="7"/>
        <v>0.19185814863151665</v>
      </c>
      <c r="H52" s="127"/>
    </row>
    <row r="53" spans="1:8" ht="15.75">
      <c r="A53" s="148"/>
      <c r="B53" s="135">
        <f>DATE(2011,9,1)</f>
        <v>40787</v>
      </c>
      <c r="C53" s="210">
        <v>12906833</v>
      </c>
      <c r="D53" s="210">
        <v>2629389</v>
      </c>
      <c r="E53" s="210">
        <v>2557226.76</v>
      </c>
      <c r="F53" s="136">
        <f t="shared" si="6"/>
        <v>0.028218944494386656</v>
      </c>
      <c r="G53" s="221">
        <f t="shared" si="7"/>
        <v>0.20372069585156946</v>
      </c>
      <c r="H53" s="127"/>
    </row>
    <row r="54" spans="1:8" ht="15.75">
      <c r="A54" s="148"/>
      <c r="B54" s="135">
        <f>DATE(2011,10,1)</f>
        <v>40817</v>
      </c>
      <c r="C54" s="210">
        <v>12893851</v>
      </c>
      <c r="D54" s="210">
        <v>2901999.71</v>
      </c>
      <c r="E54" s="210">
        <v>2716697</v>
      </c>
      <c r="F54" s="136">
        <f t="shared" si="6"/>
        <v>0.06820882490759918</v>
      </c>
      <c r="G54" s="221">
        <f t="shared" si="7"/>
        <v>0.22506850048135346</v>
      </c>
      <c r="H54" s="127"/>
    </row>
    <row r="55" spans="1:8" ht="15.75">
      <c r="A55" s="148"/>
      <c r="B55" s="135">
        <f>DATE(2011,11,1)</f>
        <v>40848</v>
      </c>
      <c r="C55" s="210">
        <v>13378839.3</v>
      </c>
      <c r="D55" s="210">
        <v>3205031.51</v>
      </c>
      <c r="E55" s="210">
        <v>2284671.94</v>
      </c>
      <c r="F55" s="136">
        <f t="shared" si="6"/>
        <v>0.4028410179537636</v>
      </c>
      <c r="G55" s="221">
        <f t="shared" si="7"/>
        <v>0.23955975837156512</v>
      </c>
      <c r="H55" s="127"/>
    </row>
    <row r="56" spans="1:8" ht="15.75">
      <c r="A56" s="148"/>
      <c r="B56" s="135">
        <f>DATE(2011,12,1)</f>
        <v>40878</v>
      </c>
      <c r="C56" s="210">
        <v>14610137.5</v>
      </c>
      <c r="D56" s="210">
        <v>3605046.46</v>
      </c>
      <c r="E56" s="210">
        <v>3145218.11</v>
      </c>
      <c r="F56" s="136">
        <f t="shared" si="6"/>
        <v>0.14619919316183771</v>
      </c>
      <c r="G56" s="221">
        <f t="shared" si="7"/>
        <v>0.24674965995357676</v>
      </c>
      <c r="H56" s="127"/>
    </row>
    <row r="57" spans="1:8" ht="15.75">
      <c r="A57" s="148"/>
      <c r="B57" s="135">
        <f>DATE(2012,1,1)</f>
        <v>40909</v>
      </c>
      <c r="C57" s="210">
        <v>13212700</v>
      </c>
      <c r="D57" s="210">
        <v>2348672.9</v>
      </c>
      <c r="E57" s="210">
        <v>3040741</v>
      </c>
      <c r="F57" s="136">
        <f t="shared" si="6"/>
        <v>-0.22759850312802046</v>
      </c>
      <c r="G57" s="221">
        <f t="shared" si="7"/>
        <v>0.17775873969741232</v>
      </c>
      <c r="H57" s="127"/>
    </row>
    <row r="58" spans="1:8" ht="15.75">
      <c r="A58" s="148"/>
      <c r="B58" s="135">
        <f>DATE(2012,2,1)</f>
        <v>40940</v>
      </c>
      <c r="C58" s="210">
        <v>13214734.35</v>
      </c>
      <c r="D58" s="210">
        <v>3263336.5</v>
      </c>
      <c r="E58" s="210">
        <v>2732876.52</v>
      </c>
      <c r="F58" s="136">
        <f t="shared" si="6"/>
        <v>0.1941031642366337</v>
      </c>
      <c r="G58" s="221">
        <f t="shared" si="7"/>
        <v>0.24694681055014928</v>
      </c>
      <c r="H58" s="127"/>
    </row>
    <row r="59" spans="1:8" ht="15.75">
      <c r="A59" s="148"/>
      <c r="B59" s="135">
        <f>DATE(2012,3,1)</f>
        <v>40969</v>
      </c>
      <c r="C59" s="210">
        <v>14283979</v>
      </c>
      <c r="D59" s="210">
        <v>4090944.88</v>
      </c>
      <c r="E59" s="210">
        <v>3024359.96</v>
      </c>
      <c r="F59" s="136">
        <f t="shared" si="6"/>
        <v>0.35266467421424263</v>
      </c>
      <c r="G59" s="221">
        <f t="shared" si="7"/>
        <v>0.28640093072105466</v>
      </c>
      <c r="H59" s="127"/>
    </row>
    <row r="60" spans="1:8" ht="15.75">
      <c r="A60" s="148"/>
      <c r="B60" s="135">
        <f>DATE(2012,4,1)</f>
        <v>41000</v>
      </c>
      <c r="C60" s="210">
        <v>19315641</v>
      </c>
      <c r="D60" s="210">
        <v>4172041.52</v>
      </c>
      <c r="E60" s="210">
        <v>3702782</v>
      </c>
      <c r="F60" s="136">
        <f t="shared" si="6"/>
        <v>0.126731608828173</v>
      </c>
      <c r="G60" s="221">
        <f t="shared" si="7"/>
        <v>0.2159929106158061</v>
      </c>
      <c r="H60" s="127"/>
    </row>
    <row r="61" spans="1:8" ht="15.75">
      <c r="A61" s="148"/>
      <c r="B61" s="135">
        <f>DATE(2012,5,1)</f>
        <v>41030</v>
      </c>
      <c r="C61" s="210">
        <v>14035291.01</v>
      </c>
      <c r="D61" s="210">
        <v>2947986.87</v>
      </c>
      <c r="E61" s="210">
        <v>2888551.72</v>
      </c>
      <c r="F61" s="136">
        <f t="shared" si="6"/>
        <v>0.020576107254191695</v>
      </c>
      <c r="G61" s="221">
        <f t="shared" si="7"/>
        <v>0.21004102215619114</v>
      </c>
      <c r="H61" s="127"/>
    </row>
    <row r="62" spans="1:8" ht="15" customHeight="1" thickBot="1">
      <c r="A62" s="137"/>
      <c r="B62" s="138"/>
      <c r="C62" s="210"/>
      <c r="D62" s="210"/>
      <c r="E62" s="210"/>
      <c r="F62" s="136"/>
      <c r="G62" s="221"/>
      <c r="H62" s="127"/>
    </row>
    <row r="63" spans="1:8" ht="15" customHeight="1" thickBot="1" thickTop="1">
      <c r="A63" s="145" t="s">
        <v>14</v>
      </c>
      <c r="B63" s="146"/>
      <c r="C63" s="212">
        <f>SUM(C51:C62)</f>
        <v>154610679.15999997</v>
      </c>
      <c r="D63" s="212">
        <f>SUM(D51:D62)</f>
        <v>34376402.88999999</v>
      </c>
      <c r="E63" s="212">
        <f>SUM(E51:E62)</f>
        <v>31861683.109999996</v>
      </c>
      <c r="F63" s="147">
        <f>(+D63-E63)/E63</f>
        <v>0.07892614371055422</v>
      </c>
      <c r="G63" s="223">
        <f>D63/C63</f>
        <v>0.2223417106552215</v>
      </c>
      <c r="H63" s="127"/>
    </row>
    <row r="64" spans="1:8" ht="15" customHeight="1" thickTop="1">
      <c r="A64" s="137"/>
      <c r="B64" s="138"/>
      <c r="C64" s="210"/>
      <c r="D64" s="210"/>
      <c r="E64" s="210"/>
      <c r="F64" s="136"/>
      <c r="G64" s="224"/>
      <c r="H64" s="127"/>
    </row>
    <row r="65" spans="1:8" ht="15" customHeight="1">
      <c r="A65" s="134" t="s">
        <v>42</v>
      </c>
      <c r="B65" s="135">
        <f>DATE(2011,7,1)</f>
        <v>40725</v>
      </c>
      <c r="C65" s="210">
        <v>11664213.61</v>
      </c>
      <c r="D65" s="210">
        <v>2657716.61</v>
      </c>
      <c r="E65" s="210">
        <v>2411904.51</v>
      </c>
      <c r="F65" s="136">
        <f aca="true" t="shared" si="8" ref="F65:F75">(+D65-E65)/E65</f>
        <v>0.10191618241138416</v>
      </c>
      <c r="G65" s="221">
        <f aca="true" t="shared" si="9" ref="G65:G75">D65/C65</f>
        <v>0.2278521895142145</v>
      </c>
      <c r="H65" s="127"/>
    </row>
    <row r="66" spans="1:8" ht="15" customHeight="1">
      <c r="A66" s="134"/>
      <c r="B66" s="135">
        <f>DATE(2011,8,1)</f>
        <v>40756</v>
      </c>
      <c r="C66" s="210">
        <v>11298115.25</v>
      </c>
      <c r="D66" s="210">
        <v>2379235.75</v>
      </c>
      <c r="E66" s="210">
        <v>2386625</v>
      </c>
      <c r="F66" s="136">
        <f t="shared" si="8"/>
        <v>-0.003096108521447651</v>
      </c>
      <c r="G66" s="221">
        <f t="shared" si="9"/>
        <v>0.2105869605109578</v>
      </c>
      <c r="H66" s="127"/>
    </row>
    <row r="67" spans="1:8" ht="15" customHeight="1">
      <c r="A67" s="134"/>
      <c r="B67" s="135">
        <f>DATE(2011,9,1)</f>
        <v>40787</v>
      </c>
      <c r="C67" s="210">
        <v>10420160.6</v>
      </c>
      <c r="D67" s="210">
        <v>2499281.1</v>
      </c>
      <c r="E67" s="210">
        <v>2229296</v>
      </c>
      <c r="F67" s="136">
        <f t="shared" si="8"/>
        <v>0.12110778469974381</v>
      </c>
      <c r="G67" s="221">
        <f t="shared" si="9"/>
        <v>0.23985053550902086</v>
      </c>
      <c r="H67" s="127"/>
    </row>
    <row r="68" spans="1:8" ht="15" customHeight="1">
      <c r="A68" s="134"/>
      <c r="B68" s="135">
        <f>DATE(2011,10,1)</f>
        <v>40817</v>
      </c>
      <c r="C68" s="210">
        <v>11083598.51</v>
      </c>
      <c r="D68" s="210">
        <v>2129500.01</v>
      </c>
      <c r="E68" s="210">
        <v>2305916.5</v>
      </c>
      <c r="F68" s="136">
        <f t="shared" si="8"/>
        <v>-0.07650601832286652</v>
      </c>
      <c r="G68" s="221">
        <f t="shared" si="9"/>
        <v>0.19213074238287253</v>
      </c>
      <c r="H68" s="127"/>
    </row>
    <row r="69" spans="1:8" ht="15" customHeight="1">
      <c r="A69" s="134"/>
      <c r="B69" s="135">
        <f>DATE(2011,11,1)</f>
        <v>40848</v>
      </c>
      <c r="C69" s="210">
        <v>11045861.5</v>
      </c>
      <c r="D69" s="210">
        <v>2536131</v>
      </c>
      <c r="E69" s="210">
        <v>2385843.5</v>
      </c>
      <c r="F69" s="136">
        <f t="shared" si="8"/>
        <v>0.06299134876197873</v>
      </c>
      <c r="G69" s="221">
        <f t="shared" si="9"/>
        <v>0.22960010860176003</v>
      </c>
      <c r="H69" s="127"/>
    </row>
    <row r="70" spans="1:8" ht="15" customHeight="1">
      <c r="A70" s="134"/>
      <c r="B70" s="135">
        <f>DATE(2011,12,1)</f>
        <v>40878</v>
      </c>
      <c r="C70" s="210">
        <v>12020639.01</v>
      </c>
      <c r="D70" s="210">
        <v>2163527.51</v>
      </c>
      <c r="E70" s="210">
        <v>2255746.5</v>
      </c>
      <c r="F70" s="136">
        <f t="shared" si="8"/>
        <v>-0.04088180564615759</v>
      </c>
      <c r="G70" s="221">
        <f t="shared" si="9"/>
        <v>0.17998440084592474</v>
      </c>
      <c r="H70" s="127"/>
    </row>
    <row r="71" spans="1:8" ht="15" customHeight="1">
      <c r="A71" s="134"/>
      <c r="B71" s="135">
        <f>DATE(2012,1,1)</f>
        <v>40909</v>
      </c>
      <c r="C71" s="210">
        <v>11149125</v>
      </c>
      <c r="D71" s="210">
        <v>2089955</v>
      </c>
      <c r="E71" s="210">
        <v>2674662.5</v>
      </c>
      <c r="F71" s="136">
        <f t="shared" si="8"/>
        <v>-0.21860982460403883</v>
      </c>
      <c r="G71" s="221">
        <f t="shared" si="9"/>
        <v>0.18745462087832004</v>
      </c>
      <c r="H71" s="127"/>
    </row>
    <row r="72" spans="1:8" ht="15" customHeight="1">
      <c r="A72" s="134"/>
      <c r="B72" s="135">
        <f>DATE(2012,2,1)</f>
        <v>40940</v>
      </c>
      <c r="C72" s="210">
        <v>10813946.05</v>
      </c>
      <c r="D72" s="210">
        <v>2418538.55</v>
      </c>
      <c r="E72" s="210">
        <v>2136826.5</v>
      </c>
      <c r="F72" s="136">
        <f t="shared" si="8"/>
        <v>0.13183665122086413</v>
      </c>
      <c r="G72" s="221">
        <f t="shared" si="9"/>
        <v>0.2236499552353509</v>
      </c>
      <c r="H72" s="127"/>
    </row>
    <row r="73" spans="1:8" ht="15" customHeight="1">
      <c r="A73" s="134"/>
      <c r="B73" s="135">
        <f>DATE(2012,3,1)</f>
        <v>40969</v>
      </c>
      <c r="C73" s="210">
        <v>11735772</v>
      </c>
      <c r="D73" s="210">
        <v>2134804.5</v>
      </c>
      <c r="E73" s="210">
        <v>2646428</v>
      </c>
      <c r="F73" s="136">
        <f t="shared" si="8"/>
        <v>-0.1933260606372061</v>
      </c>
      <c r="G73" s="221">
        <f t="shared" si="9"/>
        <v>0.18190575788282184</v>
      </c>
      <c r="H73" s="127"/>
    </row>
    <row r="74" spans="1:8" ht="15" customHeight="1">
      <c r="A74" s="134"/>
      <c r="B74" s="135">
        <f>DATE(2012,4,1)</f>
        <v>41000</v>
      </c>
      <c r="C74" s="210">
        <v>11168897.51</v>
      </c>
      <c r="D74" s="210">
        <v>2205527.51</v>
      </c>
      <c r="E74" s="210">
        <v>2468193</v>
      </c>
      <c r="F74" s="136">
        <f t="shared" si="8"/>
        <v>-0.10642015839117938</v>
      </c>
      <c r="G74" s="221">
        <f t="shared" si="9"/>
        <v>0.1974704762063843</v>
      </c>
      <c r="H74" s="127"/>
    </row>
    <row r="75" spans="1:8" ht="15" customHeight="1">
      <c r="A75" s="134"/>
      <c r="B75" s="135">
        <f>DATE(2012,5,1)</f>
        <v>41030</v>
      </c>
      <c r="C75" s="210">
        <v>10987564.01</v>
      </c>
      <c r="D75" s="210">
        <v>1916422.01</v>
      </c>
      <c r="E75" s="210">
        <v>2216240.5</v>
      </c>
      <c r="F75" s="136">
        <f t="shared" si="8"/>
        <v>-0.13528247047195463</v>
      </c>
      <c r="G75" s="221">
        <f t="shared" si="9"/>
        <v>0.17441736933280447</v>
      </c>
      <c r="H75" s="127"/>
    </row>
    <row r="76" spans="1:8" ht="15.75" thickBot="1">
      <c r="A76" s="137"/>
      <c r="B76" s="135"/>
      <c r="C76" s="210"/>
      <c r="D76" s="210"/>
      <c r="E76" s="210"/>
      <c r="F76" s="136"/>
      <c r="G76" s="221"/>
      <c r="H76" s="127"/>
    </row>
    <row r="77" spans="1:8" ht="17.25" thickBot="1" thickTop="1">
      <c r="A77" s="145" t="s">
        <v>14</v>
      </c>
      <c r="B77" s="146"/>
      <c r="C77" s="213">
        <f>SUM(C65:C76)</f>
        <v>123387893.05000001</v>
      </c>
      <c r="D77" s="269">
        <f>SUM(D65:D76)</f>
        <v>25130639.55</v>
      </c>
      <c r="E77" s="212">
        <f>SUM(E65:E76)</f>
        <v>26117682.509999998</v>
      </c>
      <c r="F77" s="276">
        <f>(+D77-E77)/E77</f>
        <v>-0.03779213410769029</v>
      </c>
      <c r="G77" s="275">
        <f>D77/C77</f>
        <v>0.2036718427456769</v>
      </c>
      <c r="H77" s="127"/>
    </row>
    <row r="78" spans="1:8" ht="16.5" thickTop="1">
      <c r="A78" s="134"/>
      <c r="B78" s="138"/>
      <c r="C78" s="210"/>
      <c r="D78" s="210"/>
      <c r="E78" s="210"/>
      <c r="F78" s="136"/>
      <c r="G78" s="224"/>
      <c r="H78" s="127"/>
    </row>
    <row r="79" spans="1:8" ht="15.75">
      <c r="A79" s="134" t="s">
        <v>18</v>
      </c>
      <c r="B79" s="135">
        <f>DATE(2011,7,1)</f>
        <v>40725</v>
      </c>
      <c r="C79" s="210">
        <v>2449883</v>
      </c>
      <c r="D79" s="210">
        <v>353440</v>
      </c>
      <c r="E79" s="210">
        <v>396647.5</v>
      </c>
      <c r="F79" s="136">
        <f aca="true" t="shared" si="10" ref="F79:F89">(+D79-E79)/E79</f>
        <v>-0.10893173409639541</v>
      </c>
      <c r="G79" s="221">
        <f aca="true" t="shared" si="11" ref="G79:G89">D79/C79</f>
        <v>0.14426811402830259</v>
      </c>
      <c r="H79" s="127"/>
    </row>
    <row r="80" spans="1:8" ht="15.75">
      <c r="A80" s="134"/>
      <c r="B80" s="135">
        <f>DATE(2011,8,1)</f>
        <v>40756</v>
      </c>
      <c r="C80" s="210">
        <v>2421529.5</v>
      </c>
      <c r="D80" s="210">
        <v>555919</v>
      </c>
      <c r="E80" s="210">
        <v>552519.5</v>
      </c>
      <c r="F80" s="136">
        <f t="shared" si="10"/>
        <v>0.006152724021505123</v>
      </c>
      <c r="G80" s="221">
        <f t="shared" si="11"/>
        <v>0.22957349889811376</v>
      </c>
      <c r="H80" s="127"/>
    </row>
    <row r="81" spans="1:8" ht="15.75">
      <c r="A81" s="134"/>
      <c r="B81" s="135">
        <f>DATE(2011,9,1)</f>
        <v>40787</v>
      </c>
      <c r="C81" s="210">
        <v>2519597.7</v>
      </c>
      <c r="D81" s="210">
        <v>375473.7</v>
      </c>
      <c r="E81" s="210">
        <v>434109.5</v>
      </c>
      <c r="F81" s="136">
        <f t="shared" si="10"/>
        <v>-0.1350714508666592</v>
      </c>
      <c r="G81" s="221">
        <f t="shared" si="11"/>
        <v>0.14902129018454016</v>
      </c>
      <c r="H81" s="127"/>
    </row>
    <row r="82" spans="1:8" ht="15.75">
      <c r="A82" s="134"/>
      <c r="B82" s="135">
        <f>DATE(2011,10,1)</f>
        <v>40817</v>
      </c>
      <c r="C82" s="210">
        <v>2532054.5</v>
      </c>
      <c r="D82" s="210">
        <v>479533</v>
      </c>
      <c r="E82" s="210">
        <v>429628.5</v>
      </c>
      <c r="F82" s="136">
        <f t="shared" si="10"/>
        <v>0.11615733127574171</v>
      </c>
      <c r="G82" s="221">
        <f t="shared" si="11"/>
        <v>0.1893849441234381</v>
      </c>
      <c r="H82" s="127"/>
    </row>
    <row r="83" spans="1:8" ht="15.75">
      <c r="A83" s="134"/>
      <c r="B83" s="135">
        <f>DATE(2011,11,1)</f>
        <v>40848</v>
      </c>
      <c r="C83" s="210">
        <v>2269375.6</v>
      </c>
      <c r="D83" s="210">
        <v>367159.6</v>
      </c>
      <c r="E83" s="210">
        <v>500049.5</v>
      </c>
      <c r="F83" s="136">
        <f t="shared" si="10"/>
        <v>-0.26575349040445</v>
      </c>
      <c r="G83" s="221">
        <f t="shared" si="11"/>
        <v>0.16178881979695206</v>
      </c>
      <c r="H83" s="127"/>
    </row>
    <row r="84" spans="1:8" ht="15.75">
      <c r="A84" s="134"/>
      <c r="B84" s="135">
        <f>DATE(2011,12,1)</f>
        <v>40878</v>
      </c>
      <c r="C84" s="210">
        <v>2291580.5</v>
      </c>
      <c r="D84" s="210">
        <v>573018.5</v>
      </c>
      <c r="E84" s="210">
        <v>575603</v>
      </c>
      <c r="F84" s="136">
        <f t="shared" si="10"/>
        <v>-0.004490073887731648</v>
      </c>
      <c r="G84" s="221">
        <f t="shared" si="11"/>
        <v>0.25005383838795975</v>
      </c>
      <c r="H84" s="127"/>
    </row>
    <row r="85" spans="1:8" ht="15.75">
      <c r="A85" s="134"/>
      <c r="B85" s="135">
        <f>DATE(2012,1,1)</f>
        <v>40909</v>
      </c>
      <c r="C85" s="210">
        <v>2178682</v>
      </c>
      <c r="D85" s="210">
        <v>391170.5</v>
      </c>
      <c r="E85" s="210">
        <v>465509</v>
      </c>
      <c r="F85" s="136">
        <f t="shared" si="10"/>
        <v>-0.15969293826757378</v>
      </c>
      <c r="G85" s="221">
        <f t="shared" si="11"/>
        <v>0.1795445595089141</v>
      </c>
      <c r="H85" s="127"/>
    </row>
    <row r="86" spans="1:8" ht="15.75">
      <c r="A86" s="134"/>
      <c r="B86" s="135">
        <f>DATE(2012,2,1)</f>
        <v>40940</v>
      </c>
      <c r="C86" s="210">
        <v>2651195.75</v>
      </c>
      <c r="D86" s="210">
        <v>580842.25</v>
      </c>
      <c r="E86" s="210">
        <v>573795.5</v>
      </c>
      <c r="F86" s="136">
        <f t="shared" si="10"/>
        <v>0.012280943297742836</v>
      </c>
      <c r="G86" s="221">
        <f t="shared" si="11"/>
        <v>0.21908689692188893</v>
      </c>
      <c r="H86" s="127"/>
    </row>
    <row r="87" spans="1:8" ht="15.75">
      <c r="A87" s="134"/>
      <c r="B87" s="135">
        <f>DATE(2012,3,1)</f>
        <v>40969</v>
      </c>
      <c r="C87" s="210">
        <v>2760001.5</v>
      </c>
      <c r="D87" s="210">
        <v>515076.5</v>
      </c>
      <c r="E87" s="210">
        <v>606823.5</v>
      </c>
      <c r="F87" s="136">
        <f t="shared" si="10"/>
        <v>-0.15119223299690931</v>
      </c>
      <c r="G87" s="221">
        <f t="shared" si="11"/>
        <v>0.18662181886495352</v>
      </c>
      <c r="H87" s="127"/>
    </row>
    <row r="88" spans="1:8" ht="15.75">
      <c r="A88" s="134"/>
      <c r="B88" s="135">
        <f>DATE(2012,4,1)</f>
        <v>41000</v>
      </c>
      <c r="C88" s="210">
        <v>2402910.5</v>
      </c>
      <c r="D88" s="210">
        <v>469111</v>
      </c>
      <c r="E88" s="210">
        <v>588336.5</v>
      </c>
      <c r="F88" s="136">
        <f t="shared" si="10"/>
        <v>-0.20264848432827132</v>
      </c>
      <c r="G88" s="221">
        <f t="shared" si="11"/>
        <v>0.1952261642703713</v>
      </c>
      <c r="H88" s="127"/>
    </row>
    <row r="89" spans="1:8" ht="15.75">
      <c r="A89" s="134"/>
      <c r="B89" s="135">
        <f>DATE(2012,5,1)</f>
        <v>41030</v>
      </c>
      <c r="C89" s="210">
        <v>2354068.5</v>
      </c>
      <c r="D89" s="210">
        <v>312259</v>
      </c>
      <c r="E89" s="210">
        <v>533827.58</v>
      </c>
      <c r="F89" s="136">
        <f t="shared" si="10"/>
        <v>-0.41505644950004267</v>
      </c>
      <c r="G89" s="221">
        <f t="shared" si="11"/>
        <v>0.13264652239303998</v>
      </c>
      <c r="H89" s="127"/>
    </row>
    <row r="90" spans="1:8" ht="16.5" thickBot="1">
      <c r="A90" s="134"/>
      <c r="B90" s="135"/>
      <c r="C90" s="210"/>
      <c r="D90" s="210"/>
      <c r="E90" s="210"/>
      <c r="F90" s="136"/>
      <c r="G90" s="221"/>
      <c r="H90" s="127"/>
    </row>
    <row r="91" spans="1:8" ht="17.25" thickBot="1" thickTop="1">
      <c r="A91" s="145" t="s">
        <v>14</v>
      </c>
      <c r="B91" s="146"/>
      <c r="C91" s="213">
        <f>SUM(C79:C90)</f>
        <v>26830879.049999997</v>
      </c>
      <c r="D91" s="269">
        <f>SUM(D79:D90)</f>
        <v>4973003.05</v>
      </c>
      <c r="E91" s="213">
        <f>SUM(E79:E90)</f>
        <v>5656849.58</v>
      </c>
      <c r="F91" s="277">
        <f>(+D91-E91)/E91</f>
        <v>-0.1208882294515599</v>
      </c>
      <c r="G91" s="275">
        <f>D91/C91</f>
        <v>0.18534625871678254</v>
      </c>
      <c r="H91" s="127"/>
    </row>
    <row r="92" spans="1:8" ht="16.5" thickTop="1">
      <c r="A92" s="134"/>
      <c r="B92" s="143"/>
      <c r="C92" s="211"/>
      <c r="D92" s="211"/>
      <c r="E92" s="211"/>
      <c r="F92" s="144"/>
      <c r="G92" s="222"/>
      <c r="H92" s="127"/>
    </row>
    <row r="93" spans="1:8" ht="15.75">
      <c r="A93" s="134" t="s">
        <v>58</v>
      </c>
      <c r="B93" s="135">
        <f>DATE(2011,7,1)</f>
        <v>40725</v>
      </c>
      <c r="C93" s="210">
        <v>12741414.87</v>
      </c>
      <c r="D93" s="210">
        <v>2899570.93</v>
      </c>
      <c r="E93" s="210">
        <v>2451762.21</v>
      </c>
      <c r="F93" s="136">
        <f aca="true" t="shared" si="12" ref="F93:F103">(+D93-E93)/E93</f>
        <v>0.18264769649092527</v>
      </c>
      <c r="G93" s="221">
        <f aca="true" t="shared" si="13" ref="G93:G103">D93/C93</f>
        <v>0.22757056100787654</v>
      </c>
      <c r="H93" s="127"/>
    </row>
    <row r="94" spans="1:8" ht="15.75">
      <c r="A94" s="134"/>
      <c r="B94" s="135">
        <f>DATE(2011,8,1)</f>
        <v>40756</v>
      </c>
      <c r="C94" s="210">
        <v>11791433</v>
      </c>
      <c r="D94" s="210">
        <v>2205264.12</v>
      </c>
      <c r="E94" s="210">
        <v>2860837.8</v>
      </c>
      <c r="F94" s="136">
        <f t="shared" si="12"/>
        <v>-0.2291544386053623</v>
      </c>
      <c r="G94" s="221">
        <f t="shared" si="13"/>
        <v>0.18702257138720968</v>
      </c>
      <c r="H94" s="127"/>
    </row>
    <row r="95" spans="1:8" ht="15.75">
      <c r="A95" s="134"/>
      <c r="B95" s="135">
        <f>DATE(2011,9,1)</f>
        <v>40787</v>
      </c>
      <c r="C95" s="210">
        <v>12493184</v>
      </c>
      <c r="D95" s="210">
        <v>2785236.92</v>
      </c>
      <c r="E95" s="210">
        <v>2176427.11</v>
      </c>
      <c r="F95" s="136">
        <f t="shared" si="12"/>
        <v>0.2797290142190887</v>
      </c>
      <c r="G95" s="221">
        <f t="shared" si="13"/>
        <v>0.22294051860598546</v>
      </c>
      <c r="H95" s="127"/>
    </row>
    <row r="96" spans="1:8" ht="15.75">
      <c r="A96" s="134"/>
      <c r="B96" s="135">
        <f>DATE(2011,10,1)</f>
        <v>40817</v>
      </c>
      <c r="C96" s="210">
        <v>13630348</v>
      </c>
      <c r="D96" s="210">
        <v>2986060.01</v>
      </c>
      <c r="E96" s="210">
        <v>3297781</v>
      </c>
      <c r="F96" s="136">
        <f t="shared" si="12"/>
        <v>-0.09452446660345251</v>
      </c>
      <c r="G96" s="221">
        <f t="shared" si="13"/>
        <v>0.21907437799827267</v>
      </c>
      <c r="H96" s="127"/>
    </row>
    <row r="97" spans="1:8" ht="15.75">
      <c r="A97" s="134"/>
      <c r="B97" s="135">
        <f>DATE(2011,11,1)</f>
        <v>40848</v>
      </c>
      <c r="C97" s="210">
        <v>11232173</v>
      </c>
      <c r="D97" s="210">
        <v>2769316.82</v>
      </c>
      <c r="E97" s="210">
        <v>2426632.58</v>
      </c>
      <c r="F97" s="136">
        <f t="shared" si="12"/>
        <v>0.1412180166146124</v>
      </c>
      <c r="G97" s="221">
        <f t="shared" si="13"/>
        <v>0.2465521871858633</v>
      </c>
      <c r="H97" s="127"/>
    </row>
    <row r="98" spans="1:8" ht="15.75">
      <c r="A98" s="134"/>
      <c r="B98" s="135">
        <f>DATE(2011,12,1)</f>
        <v>40878</v>
      </c>
      <c r="C98" s="210">
        <v>12041467.38</v>
      </c>
      <c r="D98" s="210">
        <v>2626111.52</v>
      </c>
      <c r="E98" s="210">
        <v>2515647.2</v>
      </c>
      <c r="F98" s="136">
        <f t="shared" si="12"/>
        <v>0.043910894977642265</v>
      </c>
      <c r="G98" s="221">
        <f t="shared" si="13"/>
        <v>0.2180889950639886</v>
      </c>
      <c r="H98" s="127"/>
    </row>
    <row r="99" spans="1:8" ht="15.75">
      <c r="A99" s="134"/>
      <c r="B99" s="135">
        <f>DATE(2012,1,1)</f>
        <v>40909</v>
      </c>
      <c r="C99" s="210">
        <v>10281249.5</v>
      </c>
      <c r="D99" s="210">
        <v>2244738.53</v>
      </c>
      <c r="E99" s="210">
        <v>2660825.81</v>
      </c>
      <c r="F99" s="136">
        <f t="shared" si="12"/>
        <v>-0.15637524201556066</v>
      </c>
      <c r="G99" s="221">
        <f t="shared" si="13"/>
        <v>0.21833324149948893</v>
      </c>
      <c r="H99" s="127"/>
    </row>
    <row r="100" spans="1:8" ht="15.75">
      <c r="A100" s="134"/>
      <c r="B100" s="135">
        <f>DATE(2012,2,1)</f>
        <v>40940</v>
      </c>
      <c r="C100" s="210">
        <v>11928759</v>
      </c>
      <c r="D100" s="210">
        <v>2517612.93</v>
      </c>
      <c r="E100" s="210">
        <v>2334080</v>
      </c>
      <c r="F100" s="136">
        <f t="shared" si="12"/>
        <v>0.07863180782149719</v>
      </c>
      <c r="G100" s="221">
        <f t="shared" si="13"/>
        <v>0.2110540526470524</v>
      </c>
      <c r="H100" s="127"/>
    </row>
    <row r="101" spans="1:8" ht="15.75">
      <c r="A101" s="134"/>
      <c r="B101" s="135">
        <f>DATE(2012,3,1)</f>
        <v>40969</v>
      </c>
      <c r="C101" s="210">
        <v>14583157</v>
      </c>
      <c r="D101" s="210">
        <v>2828280.32</v>
      </c>
      <c r="E101" s="210">
        <v>2611628.87</v>
      </c>
      <c r="F101" s="136">
        <f t="shared" si="12"/>
        <v>0.08295644625800132</v>
      </c>
      <c r="G101" s="221">
        <f t="shared" si="13"/>
        <v>0.1939415669734612</v>
      </c>
      <c r="H101" s="127"/>
    </row>
    <row r="102" spans="1:8" ht="15.75">
      <c r="A102" s="134"/>
      <c r="B102" s="135">
        <f>DATE(2012,4,1)</f>
        <v>41000</v>
      </c>
      <c r="C102" s="210">
        <v>12608523</v>
      </c>
      <c r="D102" s="210">
        <v>2635260.93</v>
      </c>
      <c r="E102" s="210">
        <v>2406338.74</v>
      </c>
      <c r="F102" s="136">
        <f t="shared" si="12"/>
        <v>0.09513298613976515</v>
      </c>
      <c r="G102" s="221">
        <f t="shared" si="13"/>
        <v>0.20900631501405836</v>
      </c>
      <c r="H102" s="127"/>
    </row>
    <row r="103" spans="1:8" ht="15.75">
      <c r="A103" s="134"/>
      <c r="B103" s="135">
        <f>DATE(2012,5,1)</f>
        <v>41030</v>
      </c>
      <c r="C103" s="210">
        <v>12331741</v>
      </c>
      <c r="D103" s="210">
        <v>2639319.68</v>
      </c>
      <c r="E103" s="210">
        <v>2479385.86</v>
      </c>
      <c r="F103" s="136">
        <f t="shared" si="12"/>
        <v>0.06450541748269885</v>
      </c>
      <c r="G103" s="221">
        <f t="shared" si="13"/>
        <v>0.21402652553276946</v>
      </c>
      <c r="H103" s="127"/>
    </row>
    <row r="104" spans="1:8" ht="16.5" thickBot="1">
      <c r="A104" s="134"/>
      <c r="B104" s="135"/>
      <c r="C104" s="210"/>
      <c r="D104" s="210"/>
      <c r="E104" s="210"/>
      <c r="F104" s="136"/>
      <c r="G104" s="221"/>
      <c r="H104" s="127"/>
    </row>
    <row r="105" spans="1:8" ht="17.25" thickBot="1" thickTop="1">
      <c r="A105" s="145" t="s">
        <v>14</v>
      </c>
      <c r="B105" s="146"/>
      <c r="C105" s="212">
        <f>SUM(C93:C104)</f>
        <v>135663449.75</v>
      </c>
      <c r="D105" s="212">
        <f>SUM(D93:D104)</f>
        <v>29136772.71</v>
      </c>
      <c r="E105" s="212">
        <f>SUM(E93:E104)</f>
        <v>28221347.18</v>
      </c>
      <c r="F105" s="147">
        <f>(+D105-E105)/E105</f>
        <v>0.032437343411045524</v>
      </c>
      <c r="G105" s="223">
        <f>D105/C105</f>
        <v>0.21477245907938444</v>
      </c>
      <c r="H105" s="127"/>
    </row>
    <row r="106" spans="1:8" ht="16.5" thickTop="1">
      <c r="A106" s="142"/>
      <c r="B106" s="143"/>
      <c r="C106" s="211"/>
      <c r="D106" s="211"/>
      <c r="E106" s="211"/>
      <c r="F106" s="144"/>
      <c r="G106" s="222"/>
      <c r="H106" s="127"/>
    </row>
    <row r="107" spans="1:8" ht="15.75">
      <c r="A107" s="134" t="s">
        <v>19</v>
      </c>
      <c r="B107" s="135">
        <f>DATE(2011,7,1)</f>
        <v>40725</v>
      </c>
      <c r="C107" s="210">
        <v>11761211</v>
      </c>
      <c r="D107" s="210">
        <v>2495170</v>
      </c>
      <c r="E107" s="210">
        <v>2799211.5</v>
      </c>
      <c r="F107" s="136">
        <f aca="true" t="shared" si="14" ref="F107:F117">(+D107-E107)/E107</f>
        <v>-0.10861683727721182</v>
      </c>
      <c r="G107" s="221">
        <f aca="true" t="shared" si="15" ref="G107:G117">D107/C107</f>
        <v>0.21215247307441384</v>
      </c>
      <c r="H107" s="127"/>
    </row>
    <row r="108" spans="1:8" ht="15.75">
      <c r="A108" s="134"/>
      <c r="B108" s="135">
        <f>DATE(2011,8,1)</f>
        <v>40756</v>
      </c>
      <c r="C108" s="210">
        <v>10570665</v>
      </c>
      <c r="D108" s="210">
        <v>1800577</v>
      </c>
      <c r="E108" s="210">
        <v>2069652.5</v>
      </c>
      <c r="F108" s="136">
        <f t="shared" si="14"/>
        <v>-0.13000998959970334</v>
      </c>
      <c r="G108" s="221">
        <f t="shared" si="15"/>
        <v>0.17033715475800246</v>
      </c>
      <c r="H108" s="127"/>
    </row>
    <row r="109" spans="1:8" ht="15.75">
      <c r="A109" s="134"/>
      <c r="B109" s="135">
        <f>DATE(2011,9,1)</f>
        <v>40787</v>
      </c>
      <c r="C109" s="210">
        <v>11617913</v>
      </c>
      <c r="D109" s="210">
        <v>1762511</v>
      </c>
      <c r="E109" s="210">
        <v>2150289.5</v>
      </c>
      <c r="F109" s="136">
        <f t="shared" si="14"/>
        <v>-0.1803378103274001</v>
      </c>
      <c r="G109" s="221">
        <f t="shared" si="15"/>
        <v>0.15170633486410168</v>
      </c>
      <c r="H109" s="127"/>
    </row>
    <row r="110" spans="1:8" ht="15.75">
      <c r="A110" s="134"/>
      <c r="B110" s="135">
        <f>DATE(2011,10,1)</f>
        <v>40817</v>
      </c>
      <c r="C110" s="210">
        <v>11558741.5</v>
      </c>
      <c r="D110" s="210">
        <v>2316654.5</v>
      </c>
      <c r="E110" s="210">
        <v>2098495</v>
      </c>
      <c r="F110" s="136">
        <f t="shared" si="14"/>
        <v>0.10395998084341397</v>
      </c>
      <c r="G110" s="221">
        <f t="shared" si="15"/>
        <v>0.20042445797407962</v>
      </c>
      <c r="H110" s="127"/>
    </row>
    <row r="111" spans="1:8" ht="15.75">
      <c r="A111" s="134"/>
      <c r="B111" s="135">
        <f>DATE(2011,11,1)</f>
        <v>40848</v>
      </c>
      <c r="C111" s="210">
        <v>11301147</v>
      </c>
      <c r="D111" s="210">
        <v>2382541.5</v>
      </c>
      <c r="E111" s="210">
        <v>2093936</v>
      </c>
      <c r="F111" s="136">
        <f t="shared" si="14"/>
        <v>0.13782918866670232</v>
      </c>
      <c r="G111" s="221">
        <f t="shared" si="15"/>
        <v>0.21082298106555025</v>
      </c>
      <c r="H111" s="127"/>
    </row>
    <row r="112" spans="1:8" ht="15.75">
      <c r="A112" s="134"/>
      <c r="B112" s="135">
        <f>DATE(2011,12,1)</f>
        <v>40878</v>
      </c>
      <c r="C112" s="210">
        <v>11347274</v>
      </c>
      <c r="D112" s="210">
        <v>2141744.5</v>
      </c>
      <c r="E112" s="210">
        <v>2813332.5</v>
      </c>
      <c r="F112" s="136">
        <f t="shared" si="14"/>
        <v>-0.2387161844538461</v>
      </c>
      <c r="G112" s="221">
        <f t="shared" si="15"/>
        <v>0.18874528807535626</v>
      </c>
      <c r="H112" s="127"/>
    </row>
    <row r="113" spans="1:8" ht="15.75">
      <c r="A113" s="134"/>
      <c r="B113" s="135">
        <f>DATE(2012,1,1)</f>
        <v>40909</v>
      </c>
      <c r="C113" s="210">
        <v>10577455</v>
      </c>
      <c r="D113" s="210">
        <v>2203118</v>
      </c>
      <c r="E113" s="210">
        <v>2264806.5</v>
      </c>
      <c r="F113" s="136">
        <f t="shared" si="14"/>
        <v>-0.027237867782523583</v>
      </c>
      <c r="G113" s="221">
        <f t="shared" si="15"/>
        <v>0.20828431791957516</v>
      </c>
      <c r="H113" s="127"/>
    </row>
    <row r="114" spans="1:8" ht="15.75">
      <c r="A114" s="134"/>
      <c r="B114" s="135">
        <f>DATE(2012,2,1)</f>
        <v>40940</v>
      </c>
      <c r="C114" s="210">
        <v>9925490</v>
      </c>
      <c r="D114" s="210">
        <v>1948758.5</v>
      </c>
      <c r="E114" s="210">
        <v>2067931.5</v>
      </c>
      <c r="F114" s="136">
        <f t="shared" si="14"/>
        <v>-0.05762908490924385</v>
      </c>
      <c r="G114" s="221">
        <f t="shared" si="15"/>
        <v>0.19633877017658574</v>
      </c>
      <c r="H114" s="127"/>
    </row>
    <row r="115" spans="1:8" ht="15.75">
      <c r="A115" s="134"/>
      <c r="B115" s="135">
        <f>DATE(2012,3,1)</f>
        <v>40969</v>
      </c>
      <c r="C115" s="210">
        <v>11147875.73</v>
      </c>
      <c r="D115" s="210">
        <v>2254276.23</v>
      </c>
      <c r="E115" s="210">
        <v>2392777.5</v>
      </c>
      <c r="F115" s="136">
        <f t="shared" si="14"/>
        <v>-0.05788305431658398</v>
      </c>
      <c r="G115" s="221">
        <f t="shared" si="15"/>
        <v>0.20221576599867605</v>
      </c>
      <c r="H115" s="127"/>
    </row>
    <row r="116" spans="1:8" ht="15.75">
      <c r="A116" s="134"/>
      <c r="B116" s="135">
        <f>DATE(2012,4,1)</f>
        <v>41000</v>
      </c>
      <c r="C116" s="210">
        <v>9700923</v>
      </c>
      <c r="D116" s="210">
        <v>2147163</v>
      </c>
      <c r="E116" s="210">
        <v>2361909.01</v>
      </c>
      <c r="F116" s="136">
        <f t="shared" si="14"/>
        <v>-0.09092052618910997</v>
      </c>
      <c r="G116" s="221">
        <f t="shared" si="15"/>
        <v>0.22133594916689886</v>
      </c>
      <c r="H116" s="127"/>
    </row>
    <row r="117" spans="1:8" ht="15.75">
      <c r="A117" s="134"/>
      <c r="B117" s="135">
        <f>DATE(2012,5,1)</f>
        <v>41030</v>
      </c>
      <c r="C117" s="210">
        <v>9798161.72</v>
      </c>
      <c r="D117" s="210">
        <v>1488353.22</v>
      </c>
      <c r="E117" s="210">
        <v>2334500</v>
      </c>
      <c r="F117" s="136">
        <f t="shared" si="14"/>
        <v>-0.36245310773184836</v>
      </c>
      <c r="G117" s="221">
        <f t="shared" si="15"/>
        <v>0.15190127112945834</v>
      </c>
      <c r="H117" s="127"/>
    </row>
    <row r="118" spans="1:8" ht="16.5" thickBot="1">
      <c r="A118" s="134"/>
      <c r="B118" s="135"/>
      <c r="C118" s="210"/>
      <c r="D118" s="210"/>
      <c r="E118" s="210"/>
      <c r="F118" s="136"/>
      <c r="G118" s="221"/>
      <c r="H118" s="127"/>
    </row>
    <row r="119" spans="1:8" ht="17.25" thickBot="1" thickTop="1">
      <c r="A119" s="145" t="s">
        <v>14</v>
      </c>
      <c r="B119" s="146"/>
      <c r="C119" s="212">
        <f>SUM(C107:C118)</f>
        <v>119306856.95</v>
      </c>
      <c r="D119" s="212">
        <f>SUM(D107:D118)</f>
        <v>22940867.45</v>
      </c>
      <c r="E119" s="212">
        <f>SUM(E107:E118)</f>
        <v>25446841.509999998</v>
      </c>
      <c r="F119" s="147">
        <f>(+D119-E119)/E119</f>
        <v>-0.09847878602203779</v>
      </c>
      <c r="G119" s="223">
        <f>D119/C119</f>
        <v>0.19228456801618893</v>
      </c>
      <c r="H119" s="127"/>
    </row>
    <row r="120" spans="1:8" ht="16.5" thickTop="1">
      <c r="A120" s="142"/>
      <c r="B120" s="143"/>
      <c r="C120" s="211"/>
      <c r="D120" s="211"/>
      <c r="E120" s="211"/>
      <c r="F120" s="144"/>
      <c r="G120" s="222"/>
      <c r="H120" s="127"/>
    </row>
    <row r="121" spans="1:8" ht="15.75">
      <c r="A121" s="134" t="s">
        <v>63</v>
      </c>
      <c r="B121" s="135">
        <f>DATE(2011,7,1)</f>
        <v>40725</v>
      </c>
      <c r="C121" s="210">
        <v>9212103</v>
      </c>
      <c r="D121" s="210">
        <v>1826326.5</v>
      </c>
      <c r="E121" s="210">
        <v>1678042.5</v>
      </c>
      <c r="F121" s="136">
        <f aca="true" t="shared" si="16" ref="F121:F131">(+D121-E121)/E121</f>
        <v>0.08836724933963234</v>
      </c>
      <c r="G121" s="221">
        <f aca="true" t="shared" si="17" ref="G121:G131">D121/C121</f>
        <v>0.19825293963821292</v>
      </c>
      <c r="H121" s="127"/>
    </row>
    <row r="122" spans="1:8" ht="15.75">
      <c r="A122" s="134"/>
      <c r="B122" s="135">
        <f>DATE(2011,8,1)</f>
        <v>40756</v>
      </c>
      <c r="C122" s="210">
        <v>8368727</v>
      </c>
      <c r="D122" s="210">
        <v>1812724.5</v>
      </c>
      <c r="E122" s="210">
        <v>1753798.5</v>
      </c>
      <c r="F122" s="136">
        <f t="shared" si="16"/>
        <v>0.03359907081685838</v>
      </c>
      <c r="G122" s="221">
        <f t="shared" si="17"/>
        <v>0.2166069582625888</v>
      </c>
      <c r="H122" s="127"/>
    </row>
    <row r="123" spans="1:8" ht="15.75">
      <c r="A123" s="134"/>
      <c r="B123" s="135">
        <f>DATE(2011,9,1)</f>
        <v>40787</v>
      </c>
      <c r="C123" s="210">
        <v>8304512</v>
      </c>
      <c r="D123" s="210">
        <v>1468794</v>
      </c>
      <c r="E123" s="210">
        <v>1465247</v>
      </c>
      <c r="F123" s="136">
        <f t="shared" si="16"/>
        <v>0.002420752269071358</v>
      </c>
      <c r="G123" s="221">
        <f t="shared" si="17"/>
        <v>0.176866985079918</v>
      </c>
      <c r="H123" s="127"/>
    </row>
    <row r="124" spans="1:8" ht="15.75">
      <c r="A124" s="134"/>
      <c r="B124" s="135">
        <f>DATE(2011,10,1)</f>
        <v>40817</v>
      </c>
      <c r="C124" s="210">
        <v>8154520</v>
      </c>
      <c r="D124" s="210">
        <v>153750.5</v>
      </c>
      <c r="E124" s="210">
        <v>1608544</v>
      </c>
      <c r="F124" s="136">
        <f t="shared" si="16"/>
        <v>-0.9044163541687389</v>
      </c>
      <c r="G124" s="221">
        <f t="shared" si="17"/>
        <v>0.01885463522071195</v>
      </c>
      <c r="H124" s="127"/>
    </row>
    <row r="125" spans="1:8" ht="15.75">
      <c r="A125" s="134"/>
      <c r="B125" s="135">
        <f>DATE(2011,11,1)</f>
        <v>40848</v>
      </c>
      <c r="C125" s="210">
        <v>8982426</v>
      </c>
      <c r="D125" s="210">
        <v>1844894.1</v>
      </c>
      <c r="E125" s="210">
        <v>1678224.5</v>
      </c>
      <c r="F125" s="136">
        <f t="shared" si="16"/>
        <v>0.09931305376604864</v>
      </c>
      <c r="G125" s="221">
        <f t="shared" si="17"/>
        <v>0.2053892901539072</v>
      </c>
      <c r="H125" s="127"/>
    </row>
    <row r="126" spans="1:8" ht="15.75">
      <c r="A126" s="134"/>
      <c r="B126" s="135">
        <f>DATE(2011,12,1)</f>
        <v>40878</v>
      </c>
      <c r="C126" s="210">
        <v>8931211</v>
      </c>
      <c r="D126" s="210">
        <v>2005051</v>
      </c>
      <c r="E126" s="210">
        <v>1921723.5</v>
      </c>
      <c r="F126" s="136">
        <f t="shared" si="16"/>
        <v>0.04336081647541907</v>
      </c>
      <c r="G126" s="221">
        <f t="shared" si="17"/>
        <v>0.2244993428102863</v>
      </c>
      <c r="H126" s="127"/>
    </row>
    <row r="127" spans="1:8" ht="15.75">
      <c r="A127" s="134"/>
      <c r="B127" s="135">
        <f>DATE(2012,1,1)</f>
        <v>40909</v>
      </c>
      <c r="C127" s="210">
        <v>8459833</v>
      </c>
      <c r="D127" s="210">
        <v>1791271.5</v>
      </c>
      <c r="E127" s="210">
        <v>1853373.5</v>
      </c>
      <c r="F127" s="136">
        <f t="shared" si="16"/>
        <v>-0.033507547183554746</v>
      </c>
      <c r="G127" s="221">
        <f t="shared" si="17"/>
        <v>0.21173839956415216</v>
      </c>
      <c r="H127" s="127"/>
    </row>
    <row r="128" spans="1:8" ht="15.75">
      <c r="A128" s="134"/>
      <c r="B128" s="135">
        <f>DATE(2012,2,1)</f>
        <v>40940</v>
      </c>
      <c r="C128" s="210">
        <v>9084419</v>
      </c>
      <c r="D128" s="210">
        <v>1569365.98</v>
      </c>
      <c r="E128" s="210">
        <v>1487854.5</v>
      </c>
      <c r="F128" s="136">
        <f t="shared" si="16"/>
        <v>0.0547845773897918</v>
      </c>
      <c r="G128" s="221">
        <f t="shared" si="17"/>
        <v>0.1727535883142334</v>
      </c>
      <c r="H128" s="127"/>
    </row>
    <row r="129" spans="1:8" ht="15.75">
      <c r="A129" s="134"/>
      <c r="B129" s="135">
        <f>DATE(2012,3,1)</f>
        <v>40969</v>
      </c>
      <c r="C129" s="210">
        <v>11346744</v>
      </c>
      <c r="D129" s="210">
        <v>2165187</v>
      </c>
      <c r="E129" s="210">
        <v>1733656</v>
      </c>
      <c r="F129" s="136">
        <f t="shared" si="16"/>
        <v>0.24891385603603022</v>
      </c>
      <c r="G129" s="221">
        <f t="shared" si="17"/>
        <v>0.1908201154445716</v>
      </c>
      <c r="H129" s="127"/>
    </row>
    <row r="130" spans="1:8" ht="15.75">
      <c r="A130" s="134"/>
      <c r="B130" s="135">
        <f>DATE(2012,4,1)</f>
        <v>41000</v>
      </c>
      <c r="C130" s="210">
        <v>8156899</v>
      </c>
      <c r="D130" s="210">
        <v>1674908</v>
      </c>
      <c r="E130" s="210">
        <v>1795934</v>
      </c>
      <c r="F130" s="136">
        <f t="shared" si="16"/>
        <v>-0.0673888906830652</v>
      </c>
      <c r="G130" s="221">
        <f t="shared" si="17"/>
        <v>0.2053363661852378</v>
      </c>
      <c r="H130" s="127"/>
    </row>
    <row r="131" spans="1:8" ht="15.75">
      <c r="A131" s="134"/>
      <c r="B131" s="135">
        <f>DATE(2012,5,1)</f>
        <v>41030</v>
      </c>
      <c r="C131" s="210">
        <v>9186219.02</v>
      </c>
      <c r="D131" s="210">
        <v>2034249.02</v>
      </c>
      <c r="E131" s="210">
        <v>2007494</v>
      </c>
      <c r="F131" s="136">
        <f t="shared" si="16"/>
        <v>0.01332757158925507</v>
      </c>
      <c r="G131" s="221">
        <f t="shared" si="17"/>
        <v>0.22144573470010734</v>
      </c>
      <c r="H131" s="127"/>
    </row>
    <row r="132" spans="1:8" ht="15.75" thickBot="1">
      <c r="A132" s="137"/>
      <c r="B132" s="135"/>
      <c r="C132" s="210"/>
      <c r="D132" s="210"/>
      <c r="E132" s="210"/>
      <c r="F132" s="136"/>
      <c r="G132" s="221"/>
      <c r="H132" s="127"/>
    </row>
    <row r="133" spans="1:8" ht="17.25" thickBot="1" thickTop="1">
      <c r="A133" s="145" t="s">
        <v>14</v>
      </c>
      <c r="B133" s="146"/>
      <c r="C133" s="213">
        <f>SUM(C121:C132)</f>
        <v>98187613.02</v>
      </c>
      <c r="D133" s="213">
        <f>SUM(D121:D132)</f>
        <v>18346522.1</v>
      </c>
      <c r="E133" s="213">
        <f>SUM(E121:E132)</f>
        <v>18983892</v>
      </c>
      <c r="F133" s="147">
        <f>(+D133-E133)/E133</f>
        <v>-0.03357424810465623</v>
      </c>
      <c r="G133" s="275">
        <f>D133/C133</f>
        <v>0.18685169682516845</v>
      </c>
      <c r="H133" s="127"/>
    </row>
    <row r="134" spans="1:8" ht="16.5" thickTop="1">
      <c r="A134" s="142"/>
      <c r="B134" s="143"/>
      <c r="C134" s="211"/>
      <c r="D134" s="211"/>
      <c r="E134" s="211"/>
      <c r="F134" s="144"/>
      <c r="G134" s="225"/>
      <c r="H134" s="127"/>
    </row>
    <row r="135" spans="1:8" ht="15.75">
      <c r="A135" s="134" t="s">
        <v>65</v>
      </c>
      <c r="B135" s="135">
        <f>DATE(2011,7,1)</f>
        <v>40725</v>
      </c>
      <c r="C135" s="210">
        <v>921797</v>
      </c>
      <c r="D135" s="210">
        <v>137840.5</v>
      </c>
      <c r="E135" s="210">
        <v>202334.5</v>
      </c>
      <c r="F135" s="136">
        <f aca="true" t="shared" si="18" ref="F135:F145">(+D135-E135)/E135</f>
        <v>-0.31874939765586197</v>
      </c>
      <c r="G135" s="221">
        <f aca="true" t="shared" si="19" ref="G135:G145">D135/C135</f>
        <v>0.14953455044874306</v>
      </c>
      <c r="H135" s="127"/>
    </row>
    <row r="136" spans="1:8" ht="15.75">
      <c r="A136" s="134"/>
      <c r="B136" s="135">
        <f>DATE(2011,8,1)</f>
        <v>40756</v>
      </c>
      <c r="C136" s="210">
        <v>865128</v>
      </c>
      <c r="D136" s="210">
        <v>161114.5</v>
      </c>
      <c r="E136" s="210">
        <v>187150.5</v>
      </c>
      <c r="F136" s="136">
        <f t="shared" si="18"/>
        <v>-0.13911798258620736</v>
      </c>
      <c r="G136" s="221">
        <f t="shared" si="19"/>
        <v>0.18623197954522336</v>
      </c>
      <c r="H136" s="127"/>
    </row>
    <row r="137" spans="1:8" ht="15.75">
      <c r="A137" s="134"/>
      <c r="B137" s="135">
        <f>DATE(2011,9,1)</f>
        <v>40787</v>
      </c>
      <c r="C137" s="210">
        <v>873126</v>
      </c>
      <c r="D137" s="210">
        <v>229181</v>
      </c>
      <c r="E137" s="210">
        <v>224483</v>
      </c>
      <c r="F137" s="136">
        <f t="shared" si="18"/>
        <v>0.02092808809575781</v>
      </c>
      <c r="G137" s="221">
        <f t="shared" si="19"/>
        <v>0.26248330710573275</v>
      </c>
      <c r="H137" s="127"/>
    </row>
    <row r="138" spans="1:8" ht="15.75">
      <c r="A138" s="134"/>
      <c r="B138" s="135">
        <f>DATE(2011,10,1)</f>
        <v>40817</v>
      </c>
      <c r="C138" s="210">
        <v>848537</v>
      </c>
      <c r="D138" s="210">
        <v>180880.5</v>
      </c>
      <c r="E138" s="210">
        <v>223258.5</v>
      </c>
      <c r="F138" s="136">
        <f t="shared" si="18"/>
        <v>-0.18981584127815962</v>
      </c>
      <c r="G138" s="221">
        <f t="shared" si="19"/>
        <v>0.21316748709838226</v>
      </c>
      <c r="H138" s="127"/>
    </row>
    <row r="139" spans="1:8" ht="15.75">
      <c r="A139" s="134"/>
      <c r="B139" s="135">
        <f>DATE(2011,11,1)</f>
        <v>40848</v>
      </c>
      <c r="C139" s="210">
        <v>931482.5</v>
      </c>
      <c r="D139" s="210">
        <v>159299</v>
      </c>
      <c r="E139" s="210">
        <v>193612</v>
      </c>
      <c r="F139" s="136">
        <f t="shared" si="18"/>
        <v>-0.17722558519100057</v>
      </c>
      <c r="G139" s="221">
        <f t="shared" si="19"/>
        <v>0.17101663208916967</v>
      </c>
      <c r="H139" s="127"/>
    </row>
    <row r="140" spans="1:8" ht="15.75">
      <c r="A140" s="134"/>
      <c r="B140" s="135">
        <f>DATE(2011,12,1)</f>
        <v>40878</v>
      </c>
      <c r="C140" s="210">
        <v>1040256</v>
      </c>
      <c r="D140" s="210">
        <v>218204.5</v>
      </c>
      <c r="E140" s="210">
        <v>249813</v>
      </c>
      <c r="F140" s="136">
        <f t="shared" si="18"/>
        <v>-0.1265286434252821</v>
      </c>
      <c r="G140" s="221">
        <f t="shared" si="19"/>
        <v>0.209760385905008</v>
      </c>
      <c r="H140" s="127"/>
    </row>
    <row r="141" spans="1:8" ht="15.75">
      <c r="A141" s="134"/>
      <c r="B141" s="135">
        <f>DATE(2012,1,1)</f>
        <v>40909</v>
      </c>
      <c r="C141" s="210">
        <v>907037</v>
      </c>
      <c r="D141" s="210">
        <v>238566</v>
      </c>
      <c r="E141" s="210">
        <v>228037.5</v>
      </c>
      <c r="F141" s="136">
        <f t="shared" si="18"/>
        <v>0.04617003782272652</v>
      </c>
      <c r="G141" s="221">
        <f t="shared" si="19"/>
        <v>0.2630168339329046</v>
      </c>
      <c r="H141" s="127"/>
    </row>
    <row r="142" spans="1:8" ht="15.75">
      <c r="A142" s="134"/>
      <c r="B142" s="135">
        <f>DATE(2012,2,1)</f>
        <v>40940</v>
      </c>
      <c r="C142" s="210">
        <v>972488</v>
      </c>
      <c r="D142" s="210">
        <v>160160.5</v>
      </c>
      <c r="E142" s="210">
        <v>203384.5</v>
      </c>
      <c r="F142" s="136">
        <f t="shared" si="18"/>
        <v>-0.21252356988856083</v>
      </c>
      <c r="G142" s="221">
        <f t="shared" si="19"/>
        <v>0.1646914923371805</v>
      </c>
      <c r="H142" s="127"/>
    </row>
    <row r="143" spans="1:8" ht="15.75">
      <c r="A143" s="134"/>
      <c r="B143" s="135">
        <f>DATE(2012,3,1)</f>
        <v>40969</v>
      </c>
      <c r="C143" s="210">
        <v>1022429</v>
      </c>
      <c r="D143" s="210">
        <v>230235</v>
      </c>
      <c r="E143" s="210">
        <v>253957</v>
      </c>
      <c r="F143" s="136">
        <f t="shared" si="18"/>
        <v>-0.09340951420909839</v>
      </c>
      <c r="G143" s="221">
        <f t="shared" si="19"/>
        <v>0.22518434042852853</v>
      </c>
      <c r="H143" s="127"/>
    </row>
    <row r="144" spans="1:8" ht="15.75">
      <c r="A144" s="134"/>
      <c r="B144" s="135">
        <f>DATE(2012,4,1)</f>
        <v>41000</v>
      </c>
      <c r="C144" s="210">
        <v>967723</v>
      </c>
      <c r="D144" s="210">
        <v>200775</v>
      </c>
      <c r="E144" s="210">
        <v>212249</v>
      </c>
      <c r="F144" s="136">
        <f t="shared" si="18"/>
        <v>-0.05405914751070676</v>
      </c>
      <c r="G144" s="221">
        <f t="shared" si="19"/>
        <v>0.20747155952684807</v>
      </c>
      <c r="H144" s="127"/>
    </row>
    <row r="145" spans="1:8" ht="15.75">
      <c r="A145" s="134"/>
      <c r="B145" s="135">
        <f>DATE(2012,5,1)</f>
        <v>41030</v>
      </c>
      <c r="C145" s="210">
        <v>940191</v>
      </c>
      <c r="D145" s="210">
        <v>235353</v>
      </c>
      <c r="E145" s="210">
        <v>272040</v>
      </c>
      <c r="F145" s="136">
        <f t="shared" si="18"/>
        <v>-0.13485884428760475</v>
      </c>
      <c r="G145" s="221">
        <f t="shared" si="19"/>
        <v>0.25032466807276393</v>
      </c>
      <c r="H145" s="127"/>
    </row>
    <row r="146" spans="1:8" ht="15.75" thickBot="1">
      <c r="A146" s="137"/>
      <c r="B146" s="138"/>
      <c r="C146" s="210"/>
      <c r="D146" s="210"/>
      <c r="E146" s="210"/>
      <c r="F146" s="136"/>
      <c r="G146" s="221"/>
      <c r="H146" s="127"/>
    </row>
    <row r="147" spans="1:8" ht="17.25" thickBot="1" thickTop="1">
      <c r="A147" s="149" t="s">
        <v>14</v>
      </c>
      <c r="B147" s="150"/>
      <c r="C147" s="213">
        <f>SUM(C135:C146)</f>
        <v>10290194.5</v>
      </c>
      <c r="D147" s="213">
        <f>SUM(D135:D146)</f>
        <v>2151609.5</v>
      </c>
      <c r="E147" s="213">
        <f>SUM(E135:E146)</f>
        <v>2450319.5</v>
      </c>
      <c r="F147" s="147">
        <f>(+D147-E147)/E147</f>
        <v>-0.12190655137013764</v>
      </c>
      <c r="G147" s="223">
        <f>D147/C147</f>
        <v>0.2090931808917703</v>
      </c>
      <c r="H147" s="127"/>
    </row>
    <row r="148" spans="1:8" ht="16.5" thickTop="1">
      <c r="A148" s="134"/>
      <c r="B148" s="138"/>
      <c r="C148" s="210"/>
      <c r="D148" s="210"/>
      <c r="E148" s="210"/>
      <c r="F148" s="136"/>
      <c r="G148" s="224"/>
      <c r="H148" s="127"/>
    </row>
    <row r="149" spans="1:8" ht="15.75">
      <c r="A149" s="134" t="s">
        <v>43</v>
      </c>
      <c r="B149" s="135">
        <f>DATE(2011,7,1)</f>
        <v>40725</v>
      </c>
      <c r="C149" s="210">
        <v>11645839</v>
      </c>
      <c r="D149" s="210">
        <v>2522799.5</v>
      </c>
      <c r="E149" s="210">
        <v>2557871.5</v>
      </c>
      <c r="F149" s="136">
        <f aca="true" t="shared" si="20" ref="F149:F159">(+D149-E149)/E149</f>
        <v>-0.013711400279490193</v>
      </c>
      <c r="G149" s="221">
        <f aca="true" t="shared" si="21" ref="G149:G159">D149/C149</f>
        <v>0.2166266852907721</v>
      </c>
      <c r="H149" s="127"/>
    </row>
    <row r="150" spans="1:8" ht="15.75">
      <c r="A150" s="134"/>
      <c r="B150" s="135">
        <f>DATE(2011,8,1)</f>
        <v>40756</v>
      </c>
      <c r="C150" s="210">
        <v>10895232.5</v>
      </c>
      <c r="D150" s="210">
        <v>1385303.5</v>
      </c>
      <c r="E150" s="210">
        <v>2003941.55</v>
      </c>
      <c r="F150" s="136">
        <f t="shared" si="20"/>
        <v>-0.3087106258164067</v>
      </c>
      <c r="G150" s="221">
        <f t="shared" si="21"/>
        <v>0.12714767674760497</v>
      </c>
      <c r="H150" s="127"/>
    </row>
    <row r="151" spans="1:8" ht="15.75">
      <c r="A151" s="134"/>
      <c r="B151" s="135">
        <f>DATE(2011,9,1)</f>
        <v>40787</v>
      </c>
      <c r="C151" s="210">
        <v>10846957.5</v>
      </c>
      <c r="D151" s="210">
        <v>2140163.7</v>
      </c>
      <c r="E151" s="210">
        <v>1914426.5</v>
      </c>
      <c r="F151" s="136">
        <f t="shared" si="20"/>
        <v>0.11791374597039907</v>
      </c>
      <c r="G151" s="221">
        <f t="shared" si="21"/>
        <v>0.1973054379534538</v>
      </c>
      <c r="H151" s="127"/>
    </row>
    <row r="152" spans="1:8" ht="15.75">
      <c r="A152" s="134"/>
      <c r="B152" s="135">
        <f>DATE(2011,10,1)</f>
        <v>40817</v>
      </c>
      <c r="C152" s="210">
        <v>10077777</v>
      </c>
      <c r="D152" s="210">
        <v>2230178.9</v>
      </c>
      <c r="E152" s="210">
        <v>2425858.5</v>
      </c>
      <c r="F152" s="136">
        <f t="shared" si="20"/>
        <v>-0.0806640618156418</v>
      </c>
      <c r="G152" s="221">
        <f t="shared" si="21"/>
        <v>0.22129671057416728</v>
      </c>
      <c r="H152" s="127"/>
    </row>
    <row r="153" spans="1:8" ht="15.75">
      <c r="A153" s="134"/>
      <c r="B153" s="135">
        <f>DATE(2011,11,1)</f>
        <v>40848</v>
      </c>
      <c r="C153" s="210">
        <v>10403718</v>
      </c>
      <c r="D153" s="210">
        <v>2093624.5</v>
      </c>
      <c r="E153" s="210">
        <v>1774129.5</v>
      </c>
      <c r="F153" s="136">
        <f t="shared" si="20"/>
        <v>0.18008550108658922</v>
      </c>
      <c r="G153" s="221">
        <f t="shared" si="21"/>
        <v>0.2012381054542232</v>
      </c>
      <c r="H153" s="127"/>
    </row>
    <row r="154" spans="1:8" ht="15.75">
      <c r="A154" s="134"/>
      <c r="B154" s="135">
        <f>DATE(2011,12,1)</f>
        <v>40878</v>
      </c>
      <c r="C154" s="210">
        <v>10914639</v>
      </c>
      <c r="D154" s="210">
        <v>2433423</v>
      </c>
      <c r="E154" s="210">
        <v>2625402.5</v>
      </c>
      <c r="F154" s="136">
        <f t="shared" si="20"/>
        <v>-0.07312383529763532</v>
      </c>
      <c r="G154" s="221">
        <f t="shared" si="21"/>
        <v>0.22295038800641964</v>
      </c>
      <c r="H154" s="127"/>
    </row>
    <row r="155" spans="1:8" ht="15.75">
      <c r="A155" s="134"/>
      <c r="B155" s="135">
        <f>DATE(2012,1,1)</f>
        <v>40909</v>
      </c>
      <c r="C155" s="210">
        <v>10151705</v>
      </c>
      <c r="D155" s="210">
        <v>2122580</v>
      </c>
      <c r="E155" s="210">
        <v>1796154.9</v>
      </c>
      <c r="F155" s="136">
        <f t="shared" si="20"/>
        <v>0.18173549508452758</v>
      </c>
      <c r="G155" s="221">
        <f t="shared" si="21"/>
        <v>0.20908605992786433</v>
      </c>
      <c r="H155" s="127"/>
    </row>
    <row r="156" spans="1:8" ht="15.75">
      <c r="A156" s="134"/>
      <c r="B156" s="135">
        <f>DATE(2012,2,1)</f>
        <v>40940</v>
      </c>
      <c r="C156" s="210">
        <v>10826462</v>
      </c>
      <c r="D156" s="210">
        <v>2125522.9</v>
      </c>
      <c r="E156" s="210">
        <v>2503388.5</v>
      </c>
      <c r="F156" s="136">
        <f t="shared" si="20"/>
        <v>-0.15094165368259865</v>
      </c>
      <c r="G156" s="221">
        <f t="shared" si="21"/>
        <v>0.19632663930284888</v>
      </c>
      <c r="H156" s="127"/>
    </row>
    <row r="157" spans="1:8" ht="15.75">
      <c r="A157" s="134"/>
      <c r="B157" s="135">
        <f>DATE(2012,3,1)</f>
        <v>40969</v>
      </c>
      <c r="C157" s="210">
        <v>11738296</v>
      </c>
      <c r="D157" s="210">
        <v>2476485.5</v>
      </c>
      <c r="E157" s="210">
        <v>2473461.8</v>
      </c>
      <c r="F157" s="136">
        <f t="shared" si="20"/>
        <v>0.001222456720374734</v>
      </c>
      <c r="G157" s="221">
        <f t="shared" si="21"/>
        <v>0.2109748723324067</v>
      </c>
      <c r="H157" s="127"/>
    </row>
    <row r="158" spans="1:8" ht="15.75">
      <c r="A158" s="134"/>
      <c r="B158" s="135">
        <f>DATE(2012,4,1)</f>
        <v>41000</v>
      </c>
      <c r="C158" s="210">
        <v>9874247</v>
      </c>
      <c r="D158" s="210">
        <v>2060733.4</v>
      </c>
      <c r="E158" s="210">
        <v>2313002.2</v>
      </c>
      <c r="F158" s="136">
        <f t="shared" si="20"/>
        <v>-0.10906552531597258</v>
      </c>
      <c r="G158" s="221">
        <f t="shared" si="21"/>
        <v>0.20869777715708346</v>
      </c>
      <c r="H158" s="127"/>
    </row>
    <row r="159" spans="1:8" ht="15.75">
      <c r="A159" s="134"/>
      <c r="B159" s="135">
        <f>DATE(2012,5,1)</f>
        <v>41030</v>
      </c>
      <c r="C159" s="210">
        <v>9955305</v>
      </c>
      <c r="D159" s="210">
        <v>1955747.8</v>
      </c>
      <c r="E159" s="210">
        <v>2125443.6</v>
      </c>
      <c r="F159" s="136">
        <f t="shared" si="20"/>
        <v>-0.07984018018638558</v>
      </c>
      <c r="G159" s="221">
        <f t="shared" si="21"/>
        <v>0.19645282590538413</v>
      </c>
      <c r="H159" s="127"/>
    </row>
    <row r="160" spans="1:8" ht="15.75" thickBot="1">
      <c r="A160" s="137"/>
      <c r="B160" s="138"/>
      <c r="C160" s="210"/>
      <c r="D160" s="210"/>
      <c r="E160" s="210"/>
      <c r="F160" s="136"/>
      <c r="G160" s="221"/>
      <c r="H160" s="127"/>
    </row>
    <row r="161" spans="1:8" ht="17.25" thickBot="1" thickTop="1">
      <c r="A161" s="145" t="s">
        <v>14</v>
      </c>
      <c r="B161" s="146"/>
      <c r="C161" s="212">
        <f>SUM(C149:C160)</f>
        <v>117330178</v>
      </c>
      <c r="D161" s="213">
        <f>SUM(D149:D160)</f>
        <v>23546562.7</v>
      </c>
      <c r="E161" s="212">
        <f>SUM(E149:E160)</f>
        <v>24513081.050000004</v>
      </c>
      <c r="F161" s="147">
        <f>(+D161-E161)/E161</f>
        <v>-0.039428676796220405</v>
      </c>
      <c r="G161" s="223">
        <f>D161/C161</f>
        <v>0.20068632896815344</v>
      </c>
      <c r="H161" s="127"/>
    </row>
    <row r="162" spans="1:8" ht="16.5" thickTop="1">
      <c r="A162" s="134"/>
      <c r="B162" s="138"/>
      <c r="C162" s="210"/>
      <c r="D162" s="210"/>
      <c r="E162" s="210"/>
      <c r="F162" s="136"/>
      <c r="G162" s="224"/>
      <c r="H162" s="127"/>
    </row>
    <row r="163" spans="1:8" ht="15.75">
      <c r="A163" s="134" t="s">
        <v>66</v>
      </c>
      <c r="B163" s="135">
        <f>DATE(2011,7,1)</f>
        <v>40725</v>
      </c>
      <c r="C163" s="210">
        <v>0</v>
      </c>
      <c r="D163" s="210">
        <v>0</v>
      </c>
      <c r="E163" s="210">
        <v>283502</v>
      </c>
      <c r="F163" s="136">
        <f aca="true" t="shared" si="22" ref="F163:F173">(+D163-E163)/E163</f>
        <v>-1</v>
      </c>
      <c r="G163" s="221">
        <v>0</v>
      </c>
      <c r="H163" s="127"/>
    </row>
    <row r="164" spans="1:8" ht="15.75">
      <c r="A164" s="134"/>
      <c r="B164" s="135">
        <f>DATE(2011,8,1)</f>
        <v>40756</v>
      </c>
      <c r="C164" s="210">
        <v>0</v>
      </c>
      <c r="D164" s="210">
        <v>0</v>
      </c>
      <c r="E164" s="210">
        <v>189770</v>
      </c>
      <c r="F164" s="136">
        <f t="shared" si="22"/>
        <v>-1</v>
      </c>
      <c r="G164" s="221">
        <v>0</v>
      </c>
      <c r="H164" s="127"/>
    </row>
    <row r="165" spans="1:8" ht="15.75">
      <c r="A165" s="134"/>
      <c r="B165" s="135">
        <f>DATE(2011,9,1)</f>
        <v>40787</v>
      </c>
      <c r="C165" s="210">
        <v>75970</v>
      </c>
      <c r="D165" s="210">
        <v>18189.5</v>
      </c>
      <c r="E165" s="210">
        <v>165396.5</v>
      </c>
      <c r="F165" s="136">
        <f t="shared" si="22"/>
        <v>-0.8900248796074887</v>
      </c>
      <c r="G165" s="221">
        <f aca="true" t="shared" si="23" ref="G165:G173">D165/C165</f>
        <v>0.23943003817296302</v>
      </c>
      <c r="H165" s="127"/>
    </row>
    <row r="166" spans="1:8" ht="15.75">
      <c r="A166" s="134"/>
      <c r="B166" s="135">
        <f>DATE(2011,10,1)</f>
        <v>40817</v>
      </c>
      <c r="C166" s="210">
        <v>1070374</v>
      </c>
      <c r="D166" s="210">
        <v>251492.5</v>
      </c>
      <c r="E166" s="210">
        <v>252805.5</v>
      </c>
      <c r="F166" s="136">
        <f t="shared" si="22"/>
        <v>-0.005193716117726869</v>
      </c>
      <c r="G166" s="221">
        <f t="shared" si="23"/>
        <v>0.23495759426144505</v>
      </c>
      <c r="H166" s="127"/>
    </row>
    <row r="167" spans="1:8" ht="15.75">
      <c r="A167" s="134"/>
      <c r="B167" s="135">
        <f>DATE(2011,11,1)</f>
        <v>40848</v>
      </c>
      <c r="C167" s="210">
        <v>1072945</v>
      </c>
      <c r="D167" s="210">
        <v>291297.5</v>
      </c>
      <c r="E167" s="210">
        <v>240222.5</v>
      </c>
      <c r="F167" s="136">
        <f t="shared" si="22"/>
        <v>0.21261538781754416</v>
      </c>
      <c r="G167" s="221">
        <f t="shared" si="23"/>
        <v>0.2714934129894822</v>
      </c>
      <c r="H167" s="127"/>
    </row>
    <row r="168" spans="1:8" ht="15.75">
      <c r="A168" s="134"/>
      <c r="B168" s="135">
        <f>DATE(2011,12,1)</f>
        <v>40878</v>
      </c>
      <c r="C168" s="210">
        <v>1116845</v>
      </c>
      <c r="D168" s="210">
        <v>319579.5</v>
      </c>
      <c r="E168" s="210">
        <v>306220.5</v>
      </c>
      <c r="F168" s="136">
        <f t="shared" si="22"/>
        <v>0.04362542677580371</v>
      </c>
      <c r="G168" s="221">
        <f t="shared" si="23"/>
        <v>0.28614489924743364</v>
      </c>
      <c r="H168" s="127"/>
    </row>
    <row r="169" spans="1:8" ht="15.75">
      <c r="A169" s="134"/>
      <c r="B169" s="135">
        <f>DATE(2012,1,1)</f>
        <v>40909</v>
      </c>
      <c r="C169" s="210">
        <v>998244</v>
      </c>
      <c r="D169" s="210">
        <v>199372.5</v>
      </c>
      <c r="E169" s="210">
        <v>251908</v>
      </c>
      <c r="F169" s="136">
        <f t="shared" si="22"/>
        <v>-0.20855034377629927</v>
      </c>
      <c r="G169" s="221">
        <f t="shared" si="23"/>
        <v>0.19972321396372028</v>
      </c>
      <c r="H169" s="127"/>
    </row>
    <row r="170" spans="1:8" ht="15.75">
      <c r="A170" s="134"/>
      <c r="B170" s="135">
        <f>DATE(2012,2,1)</f>
        <v>40940</v>
      </c>
      <c r="C170" s="210">
        <v>1148963</v>
      </c>
      <c r="D170" s="210">
        <v>284163.5</v>
      </c>
      <c r="E170" s="210">
        <v>258586.5</v>
      </c>
      <c r="F170" s="136">
        <f t="shared" si="22"/>
        <v>0.09891080934232839</v>
      </c>
      <c r="G170" s="221">
        <f t="shared" si="23"/>
        <v>0.24732171532068484</v>
      </c>
      <c r="H170" s="127"/>
    </row>
    <row r="171" spans="1:8" ht="15.75">
      <c r="A171" s="134"/>
      <c r="B171" s="135">
        <f>DATE(2012,3,1)</f>
        <v>40969</v>
      </c>
      <c r="C171" s="210">
        <v>1180785</v>
      </c>
      <c r="D171" s="210">
        <v>265955.5</v>
      </c>
      <c r="E171" s="210">
        <v>300834.5</v>
      </c>
      <c r="F171" s="136">
        <f t="shared" si="22"/>
        <v>-0.11594082460622036</v>
      </c>
      <c r="G171" s="221">
        <f t="shared" si="23"/>
        <v>0.2252361776275952</v>
      </c>
      <c r="H171" s="127"/>
    </row>
    <row r="172" spans="1:8" ht="15.75">
      <c r="A172" s="134"/>
      <c r="B172" s="135">
        <f>DATE(2012,4,1)</f>
        <v>41000</v>
      </c>
      <c r="C172" s="210">
        <v>971428</v>
      </c>
      <c r="D172" s="210">
        <v>278810.5</v>
      </c>
      <c r="E172" s="210">
        <v>270923.5</v>
      </c>
      <c r="F172" s="136">
        <f t="shared" si="22"/>
        <v>0.029111538866137487</v>
      </c>
      <c r="G172" s="221">
        <f t="shared" si="23"/>
        <v>0.28701097765351624</v>
      </c>
      <c r="H172" s="127"/>
    </row>
    <row r="173" spans="1:8" ht="15.75">
      <c r="A173" s="134"/>
      <c r="B173" s="135">
        <f>DATE(2012,5,1)</f>
        <v>41030</v>
      </c>
      <c r="C173" s="210">
        <v>1028393</v>
      </c>
      <c r="D173" s="210">
        <v>286010</v>
      </c>
      <c r="E173" s="210">
        <v>280071.5</v>
      </c>
      <c r="F173" s="136">
        <f t="shared" si="22"/>
        <v>0.02120351410264879</v>
      </c>
      <c r="G173" s="221">
        <f t="shared" si="23"/>
        <v>0.278113522748599</v>
      </c>
      <c r="H173" s="127"/>
    </row>
    <row r="174" spans="1:8" ht="15.75" thickBot="1">
      <c r="A174" s="137"/>
      <c r="B174" s="138"/>
      <c r="C174" s="210"/>
      <c r="D174" s="210"/>
      <c r="E174" s="210"/>
      <c r="F174" s="136"/>
      <c r="G174" s="221"/>
      <c r="H174" s="127"/>
    </row>
    <row r="175" spans="1:8" ht="17.25" thickBot="1" thickTop="1">
      <c r="A175" s="139" t="s">
        <v>14</v>
      </c>
      <c r="B175" s="140"/>
      <c r="C175" s="207">
        <f>SUM(C163:C174)</f>
        <v>8663947</v>
      </c>
      <c r="D175" s="213">
        <f>SUM(D163:D174)</f>
        <v>2194871</v>
      </c>
      <c r="E175" s="213">
        <f>SUM(E163:E174)</f>
        <v>2800241</v>
      </c>
      <c r="F175" s="141">
        <f>(+D175-E175)/E175</f>
        <v>-0.21618496407987742</v>
      </c>
      <c r="G175" s="223">
        <f>D175/C175</f>
        <v>0.25333384426289773</v>
      </c>
      <c r="H175" s="127"/>
    </row>
    <row r="176" spans="1:8" ht="16.5" thickBot="1" thickTop="1">
      <c r="A176" s="151"/>
      <c r="B176" s="143"/>
      <c r="C176" s="211"/>
      <c r="D176" s="211"/>
      <c r="E176" s="211"/>
      <c r="F176" s="144"/>
      <c r="G176" s="222"/>
      <c r="H176" s="127"/>
    </row>
    <row r="177" spans="1:8" ht="17.25" thickBot="1" thickTop="1">
      <c r="A177" s="152" t="s">
        <v>44</v>
      </c>
      <c r="B177" s="125"/>
      <c r="C177" s="207">
        <f>C175+C161+C119+C91+C77+C49+C21+C63+C147+C35+C105+C133</f>
        <v>914364979.48</v>
      </c>
      <c r="D177" s="207">
        <f>D175+D161+D119+D91+D77+D49+D21+D63+D147+D35+D105+D133</f>
        <v>186860061</v>
      </c>
      <c r="E177" s="207">
        <f>E175+E161+E119+E91+E77+E49+E21+E63+E147+E35+E105+E133</f>
        <v>191406936.58</v>
      </c>
      <c r="F177" s="141">
        <f>(+D177-E177)/E177</f>
        <v>-0.023755019861046736</v>
      </c>
      <c r="G177" s="218">
        <f>D177/C177</f>
        <v>0.20436047442047425</v>
      </c>
      <c r="H177" s="127"/>
    </row>
    <row r="178" spans="1:8" ht="17.25" thickBot="1" thickTop="1">
      <c r="A178" s="152"/>
      <c r="B178" s="125"/>
      <c r="C178" s="207"/>
      <c r="D178" s="207"/>
      <c r="E178" s="207"/>
      <c r="F178" s="141"/>
      <c r="G178" s="218"/>
      <c r="H178" s="127"/>
    </row>
    <row r="179" spans="1:8" ht="17.25" thickBot="1" thickTop="1">
      <c r="A179" s="273" t="s">
        <v>45</v>
      </c>
      <c r="B179" s="274"/>
      <c r="C179" s="212">
        <f>+C19+C33+C47+C61+C75+C89+C103+C117+C131+C145+C159+C173</f>
        <v>79743904.25999999</v>
      </c>
      <c r="D179" s="212">
        <f>+D19+D33+D47+D61+D75+D89+D103+D117+D131+D145+D159+D173</f>
        <v>15752984.16</v>
      </c>
      <c r="E179" s="212">
        <f>+E19+E33+E47+E61+E75+E89+E103+E117+E131+E145+E159+E173</f>
        <v>17365983.11</v>
      </c>
      <c r="F179" s="147">
        <f>(+D179-E179)/E179</f>
        <v>-0.09288267412117732</v>
      </c>
      <c r="G179" s="223">
        <f>D179/C179</f>
        <v>0.19754468139205206</v>
      </c>
      <c r="H179" s="127"/>
    </row>
    <row r="180" spans="1:8" ht="16.5" thickTop="1">
      <c r="A180" s="262"/>
      <c r="B180" s="264"/>
      <c r="C180" s="265"/>
      <c r="D180" s="265"/>
      <c r="E180" s="265"/>
      <c r="F180" s="266"/>
      <c r="G180" s="263"/>
      <c r="H180" s="263"/>
    </row>
    <row r="181" spans="1:8" ht="15.75">
      <c r="A181" s="262" t="s">
        <v>67</v>
      </c>
      <c r="B181" s="264"/>
      <c r="C181" s="265"/>
      <c r="D181" s="265"/>
      <c r="E181" s="265"/>
      <c r="F181" s="266"/>
      <c r="G181" s="263"/>
      <c r="H181" s="263"/>
    </row>
    <row r="182" spans="1:8" ht="15.75">
      <c r="A182" s="262" t="s">
        <v>68</v>
      </c>
      <c r="B182" s="264"/>
      <c r="C182" s="265"/>
      <c r="D182" s="265"/>
      <c r="E182" s="265"/>
      <c r="F182" s="266"/>
      <c r="G182" s="263"/>
      <c r="H182" s="263"/>
    </row>
    <row r="183" spans="1:8" ht="15.75">
      <c r="A183" s="262" t="s">
        <v>69</v>
      </c>
      <c r="B183" s="264"/>
      <c r="C183" s="265"/>
      <c r="D183" s="265"/>
      <c r="E183" s="265"/>
      <c r="F183" s="266"/>
      <c r="G183" s="263"/>
      <c r="H183" s="263"/>
    </row>
    <row r="184" spans="1:7" ht="18.75">
      <c r="A184" s="271" t="s">
        <v>46</v>
      </c>
      <c r="B184" s="120"/>
      <c r="C184" s="214"/>
      <c r="D184" s="214"/>
      <c r="E184" s="214"/>
      <c r="F184" s="153"/>
      <c r="G184" s="226"/>
    </row>
    <row r="185" ht="15.75">
      <c r="A185" s="74"/>
    </row>
  </sheetData>
  <sheetProtection/>
  <printOptions horizontalCentered="1"/>
  <pageMargins left="0.7" right="0.25" top="0.319444444444444" bottom="0.2" header="0.5" footer="0.5"/>
  <pageSetup horizontalDpi="600" verticalDpi="600" orientation="landscape" scale="60" r:id="rId1"/>
  <rowBreaks count="3" manualBreakCount="3">
    <brk id="49" max="7" man="1"/>
    <brk id="91" max="7" man="1"/>
    <brk id="13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87"/>
  <sheetViews>
    <sheetView showOutlineSymbols="0" zoomScale="87" zoomScaleNormal="87" zoomScalePageLayoutView="0" workbookViewId="0" topLeftCell="A1">
      <selection activeCell="A4" sqref="A4"/>
    </sheetView>
  </sheetViews>
  <sheetFormatPr defaultColWidth="9.6640625" defaultRowHeight="15"/>
  <cols>
    <col min="1" max="1" width="27.6640625" style="157" customWidth="1"/>
    <col min="2" max="2" width="9.6640625" style="157" customWidth="1"/>
    <col min="3" max="3" width="18.3359375" style="239" customWidth="1"/>
    <col min="4" max="4" width="16.4453125" style="239" customWidth="1"/>
    <col min="5" max="5" width="15.5546875" style="239" customWidth="1"/>
    <col min="6" max="6" width="9.6640625" style="157" customWidth="1"/>
    <col min="7" max="7" width="9.6640625" style="258" customWidth="1"/>
    <col min="8" max="8" width="10.88671875" style="258" customWidth="1"/>
    <col min="9" max="9" width="1.66796875" style="157" customWidth="1"/>
    <col min="10" max="16384" width="9.6640625" style="157" customWidth="1"/>
  </cols>
  <sheetData>
    <row r="1" spans="1:9" ht="18">
      <c r="A1" s="154" t="s">
        <v>0</v>
      </c>
      <c r="B1" s="155"/>
      <c r="C1" s="228"/>
      <c r="D1" s="228"/>
      <c r="E1" s="228"/>
      <c r="F1" s="155"/>
      <c r="G1" s="240"/>
      <c r="H1" s="240"/>
      <c r="I1" s="156"/>
    </row>
    <row r="2" spans="1:9" ht="18.75">
      <c r="A2" s="158" t="s">
        <v>47</v>
      </c>
      <c r="B2" s="155"/>
      <c r="C2" s="228"/>
      <c r="D2" s="228"/>
      <c r="E2" s="228"/>
      <c r="F2" s="155"/>
      <c r="G2" s="240"/>
      <c r="H2" s="240"/>
      <c r="I2" s="156"/>
    </row>
    <row r="3" spans="1:9" ht="18">
      <c r="A3" s="154" t="s">
        <v>48</v>
      </c>
      <c r="B3" s="155"/>
      <c r="C3" s="228"/>
      <c r="D3" s="228"/>
      <c r="E3" s="228"/>
      <c r="F3" s="155"/>
      <c r="G3" s="240"/>
      <c r="H3" s="240"/>
      <c r="I3" s="156"/>
    </row>
    <row r="4" spans="1:9" ht="18">
      <c r="A4" s="154" t="s">
        <v>75</v>
      </c>
      <c r="B4" s="155"/>
      <c r="C4" s="228"/>
      <c r="D4" s="228"/>
      <c r="E4" s="228"/>
      <c r="F4" s="155"/>
      <c r="G4" s="240"/>
      <c r="H4" s="240"/>
      <c r="I4" s="156"/>
    </row>
    <row r="5" spans="1:9" ht="15">
      <c r="A5" s="159" t="s">
        <v>71</v>
      </c>
      <c r="B5" s="155"/>
      <c r="C5" s="228"/>
      <c r="D5" s="228"/>
      <c r="E5" s="228"/>
      <c r="F5" s="155"/>
      <c r="G5" s="240"/>
      <c r="H5" s="240"/>
      <c r="I5" s="156"/>
    </row>
    <row r="6" spans="1:9" ht="16.5" thickBot="1">
      <c r="A6" s="155"/>
      <c r="B6" s="155"/>
      <c r="C6" s="228"/>
      <c r="D6" s="228"/>
      <c r="E6" s="228"/>
      <c r="F6" s="155"/>
      <c r="G6" s="241" t="s">
        <v>49</v>
      </c>
      <c r="H6" s="241"/>
      <c r="I6" s="156"/>
    </row>
    <row r="7" spans="1:9" ht="16.5" thickTop="1">
      <c r="A7" s="160"/>
      <c r="B7" s="161" t="s">
        <v>2</v>
      </c>
      <c r="C7" s="229" t="s">
        <v>50</v>
      </c>
      <c r="D7" s="229" t="s">
        <v>35</v>
      </c>
      <c r="E7" s="229" t="s">
        <v>3</v>
      </c>
      <c r="F7" s="162"/>
      <c r="G7" s="242" t="s">
        <v>36</v>
      </c>
      <c r="H7" s="259" t="s">
        <v>36</v>
      </c>
      <c r="I7" s="163"/>
    </row>
    <row r="8" spans="1:9" ht="16.5" thickBot="1">
      <c r="A8" s="164" t="s">
        <v>5</v>
      </c>
      <c r="B8" s="165" t="s">
        <v>6</v>
      </c>
      <c r="C8" s="230" t="s">
        <v>51</v>
      </c>
      <c r="D8" s="230" t="s">
        <v>52</v>
      </c>
      <c r="E8" s="230" t="s">
        <v>52</v>
      </c>
      <c r="F8" s="166" t="s">
        <v>8</v>
      </c>
      <c r="G8" s="244" t="s">
        <v>39</v>
      </c>
      <c r="H8" s="260" t="s">
        <v>53</v>
      </c>
      <c r="I8" s="163"/>
    </row>
    <row r="9" spans="1:9" ht="16.5" thickTop="1">
      <c r="A9" s="167"/>
      <c r="B9" s="168"/>
      <c r="C9" s="231"/>
      <c r="D9" s="231"/>
      <c r="E9" s="231"/>
      <c r="F9" s="169"/>
      <c r="G9" s="245"/>
      <c r="H9" s="246"/>
      <c r="I9" s="163"/>
    </row>
    <row r="10" spans="1:9" ht="15.75">
      <c r="A10" s="170" t="s">
        <v>40</v>
      </c>
      <c r="B10" s="171">
        <f>DATE(11,7,1)</f>
        <v>4200</v>
      </c>
      <c r="C10" s="232">
        <v>168287968.57</v>
      </c>
      <c r="D10" s="232">
        <v>15503218.7</v>
      </c>
      <c r="E10" s="232">
        <v>15205967.11</v>
      </c>
      <c r="F10" s="172">
        <f aca="true" t="shared" si="0" ref="F10:F20">(+D10-E10)/E10</f>
        <v>0.01954835150238595</v>
      </c>
      <c r="G10" s="247">
        <f aca="true" t="shared" si="1" ref="G10:G20">D10/C10</f>
        <v>0.09212315551572767</v>
      </c>
      <c r="H10" s="248">
        <f aca="true" t="shared" si="2" ref="H10:H20">1-G10</f>
        <v>0.9078768444842723</v>
      </c>
      <c r="I10" s="163"/>
    </row>
    <row r="11" spans="1:9" ht="15.75">
      <c r="A11" s="170"/>
      <c r="B11" s="171">
        <f>DATE(11,8,1)</f>
        <v>4231</v>
      </c>
      <c r="C11" s="232">
        <v>156538472.76</v>
      </c>
      <c r="D11" s="232">
        <v>14516906.17</v>
      </c>
      <c r="E11" s="232">
        <v>14248352.51</v>
      </c>
      <c r="F11" s="172">
        <f t="shared" si="0"/>
        <v>0.01884804996307606</v>
      </c>
      <c r="G11" s="247">
        <f t="shared" si="1"/>
        <v>0.09273698608428918</v>
      </c>
      <c r="H11" s="248">
        <f t="shared" si="2"/>
        <v>0.9072630139157108</v>
      </c>
      <c r="I11" s="163"/>
    </row>
    <row r="12" spans="1:9" ht="15.75">
      <c r="A12" s="170"/>
      <c r="B12" s="171">
        <f>DATE(11,9,1)</f>
        <v>4262</v>
      </c>
      <c r="C12" s="232">
        <v>154140350.23</v>
      </c>
      <c r="D12" s="232">
        <v>14324107.9</v>
      </c>
      <c r="E12" s="232">
        <v>14122939.7</v>
      </c>
      <c r="F12" s="172">
        <f t="shared" si="0"/>
        <v>0.014244074128561289</v>
      </c>
      <c r="G12" s="247">
        <f t="shared" si="1"/>
        <v>0.09292899541636133</v>
      </c>
      <c r="H12" s="248">
        <f t="shared" si="2"/>
        <v>0.9070710045836387</v>
      </c>
      <c r="I12" s="163"/>
    </row>
    <row r="13" spans="1:9" ht="15.75">
      <c r="A13" s="170"/>
      <c r="B13" s="171">
        <f>DATE(11,10,1)</f>
        <v>4292</v>
      </c>
      <c r="C13" s="232">
        <v>149907440.28</v>
      </c>
      <c r="D13" s="232">
        <v>14425174.54</v>
      </c>
      <c r="E13" s="232">
        <v>14499368.24</v>
      </c>
      <c r="F13" s="172">
        <f t="shared" si="0"/>
        <v>-0.005117029843777601</v>
      </c>
      <c r="G13" s="247">
        <f t="shared" si="1"/>
        <v>0.09622720868995148</v>
      </c>
      <c r="H13" s="248">
        <f t="shared" si="2"/>
        <v>0.9037727913100485</v>
      </c>
      <c r="I13" s="163"/>
    </row>
    <row r="14" spans="1:9" ht="15.75">
      <c r="A14" s="170"/>
      <c r="B14" s="171">
        <f>DATE(11,11,1)</f>
        <v>4323</v>
      </c>
      <c r="C14" s="232">
        <v>148361532.13</v>
      </c>
      <c r="D14" s="232">
        <v>14128446.8</v>
      </c>
      <c r="E14" s="232">
        <v>13529659.56</v>
      </c>
      <c r="F14" s="172">
        <f t="shared" si="0"/>
        <v>0.04425737671702363</v>
      </c>
      <c r="G14" s="247">
        <f t="shared" si="1"/>
        <v>0.095229852355664</v>
      </c>
      <c r="H14" s="248">
        <f t="shared" si="2"/>
        <v>0.9047701476443359</v>
      </c>
      <c r="I14" s="163"/>
    </row>
    <row r="15" spans="1:9" ht="15.75">
      <c r="A15" s="170"/>
      <c r="B15" s="171">
        <f>DATE(11,12,1)</f>
        <v>4353</v>
      </c>
      <c r="C15" s="232">
        <v>162053436.7</v>
      </c>
      <c r="D15" s="232">
        <v>15210097.2</v>
      </c>
      <c r="E15" s="232">
        <v>14821930.97</v>
      </c>
      <c r="F15" s="172">
        <f t="shared" si="0"/>
        <v>0.026188641060713197</v>
      </c>
      <c r="G15" s="247">
        <f t="shared" si="1"/>
        <v>0.09385852907370029</v>
      </c>
      <c r="H15" s="248">
        <f t="shared" si="2"/>
        <v>0.9061414709262997</v>
      </c>
      <c r="I15" s="163"/>
    </row>
    <row r="16" spans="1:9" ht="15.75">
      <c r="A16" s="170"/>
      <c r="B16" s="171">
        <f>DATE(12,1,1)</f>
        <v>4384</v>
      </c>
      <c r="C16" s="232">
        <v>154366526.12</v>
      </c>
      <c r="D16" s="232">
        <v>14402333.3</v>
      </c>
      <c r="E16" s="232">
        <v>13213623.06</v>
      </c>
      <c r="F16" s="172">
        <f t="shared" si="0"/>
        <v>0.08996096184992886</v>
      </c>
      <c r="G16" s="247">
        <f t="shared" si="1"/>
        <v>0.09329958807781973</v>
      </c>
      <c r="H16" s="248">
        <f t="shared" si="2"/>
        <v>0.9067004119221803</v>
      </c>
      <c r="I16" s="163"/>
    </row>
    <row r="17" spans="1:9" ht="15.75">
      <c r="A17" s="170"/>
      <c r="B17" s="171">
        <f>DATE(12,2,1)</f>
        <v>4415</v>
      </c>
      <c r="C17" s="232">
        <v>140536271.55</v>
      </c>
      <c r="D17" s="232">
        <v>13370818.44</v>
      </c>
      <c r="E17" s="232">
        <v>14566691.16</v>
      </c>
      <c r="F17" s="172">
        <f t="shared" si="0"/>
        <v>-0.08209638735829425</v>
      </c>
      <c r="G17" s="247">
        <f t="shared" si="1"/>
        <v>0.09514140579176336</v>
      </c>
      <c r="H17" s="248">
        <f t="shared" si="2"/>
        <v>0.9048585942082367</v>
      </c>
      <c r="I17" s="163"/>
    </row>
    <row r="18" spans="1:9" ht="15.75">
      <c r="A18" s="170"/>
      <c r="B18" s="171">
        <f>DATE(12,3,1)</f>
        <v>4444</v>
      </c>
      <c r="C18" s="232">
        <v>136778539.58</v>
      </c>
      <c r="D18" s="232">
        <v>12682793.86</v>
      </c>
      <c r="E18" s="232">
        <v>16141005.07</v>
      </c>
      <c r="F18" s="172">
        <f t="shared" si="0"/>
        <v>-0.21425005413247175</v>
      </c>
      <c r="G18" s="247">
        <f t="shared" si="1"/>
        <v>0.09272502761723081</v>
      </c>
      <c r="H18" s="248">
        <f t="shared" si="2"/>
        <v>0.9072749723827692</v>
      </c>
      <c r="I18" s="163"/>
    </row>
    <row r="19" spans="1:9" ht="15.75">
      <c r="A19" s="170"/>
      <c r="B19" s="171">
        <f>DATE(12,4,1)</f>
        <v>4475</v>
      </c>
      <c r="C19" s="232">
        <v>122471543.13</v>
      </c>
      <c r="D19" s="232">
        <v>11174874.95</v>
      </c>
      <c r="E19" s="232">
        <v>15675381.35</v>
      </c>
      <c r="F19" s="172">
        <f t="shared" si="0"/>
        <v>-0.28710666104464505</v>
      </c>
      <c r="G19" s="247">
        <f t="shared" si="1"/>
        <v>0.09124466520470141</v>
      </c>
      <c r="H19" s="248">
        <f t="shared" si="2"/>
        <v>0.9087553347952986</v>
      </c>
      <c r="I19" s="163"/>
    </row>
    <row r="20" spans="1:9" ht="15.75">
      <c r="A20" s="170"/>
      <c r="B20" s="171">
        <f>DATE(12,5,1)</f>
        <v>4505</v>
      </c>
      <c r="C20" s="232">
        <v>126193093.99</v>
      </c>
      <c r="D20" s="232">
        <v>11565966.44</v>
      </c>
      <c r="E20" s="232">
        <v>15201302.42</v>
      </c>
      <c r="F20" s="172">
        <f t="shared" si="0"/>
        <v>-0.23914634940865814</v>
      </c>
      <c r="G20" s="247">
        <f t="shared" si="1"/>
        <v>0.09165292706839036</v>
      </c>
      <c r="H20" s="248">
        <f t="shared" si="2"/>
        <v>0.9083470729316097</v>
      </c>
      <c r="I20" s="163"/>
    </row>
    <row r="21" spans="1:9" ht="15.75" thickBot="1">
      <c r="A21" s="173"/>
      <c r="B21" s="174"/>
      <c r="C21" s="232"/>
      <c r="D21" s="232"/>
      <c r="E21" s="232"/>
      <c r="F21" s="172"/>
      <c r="G21" s="247"/>
      <c r="H21" s="248"/>
      <c r="I21" s="163"/>
    </row>
    <row r="22" spans="1:9" ht="17.25" thickBot="1" thickTop="1">
      <c r="A22" s="175" t="s">
        <v>14</v>
      </c>
      <c r="B22" s="161"/>
      <c r="C22" s="229">
        <f>SUM(C10:C21)</f>
        <v>1619635175.0399997</v>
      </c>
      <c r="D22" s="229">
        <f>SUM(D10:D21)</f>
        <v>151304738.29999998</v>
      </c>
      <c r="E22" s="229">
        <f>SUM(E10:E21)</f>
        <v>161226221.14999998</v>
      </c>
      <c r="F22" s="176">
        <f>(+D22-E22)/E22</f>
        <v>-0.06153765050890418</v>
      </c>
      <c r="G22" s="242">
        <f>D22/C22</f>
        <v>0.09341902462464317</v>
      </c>
      <c r="H22" s="243">
        <f>1-G22</f>
        <v>0.9065809753753569</v>
      </c>
      <c r="I22" s="163"/>
    </row>
    <row r="23" spans="1:9" ht="15.75" thickTop="1">
      <c r="A23" s="177"/>
      <c r="B23" s="178"/>
      <c r="C23" s="233"/>
      <c r="D23" s="233"/>
      <c r="E23" s="233"/>
      <c r="F23" s="179"/>
      <c r="G23" s="249"/>
      <c r="H23" s="250"/>
      <c r="I23" s="163"/>
    </row>
    <row r="24" spans="1:9" ht="15.75">
      <c r="A24" s="20" t="s">
        <v>54</v>
      </c>
      <c r="B24" s="171">
        <f>DATE(11,7,1)</f>
        <v>4200</v>
      </c>
      <c r="C24" s="232">
        <v>83775367.7</v>
      </c>
      <c r="D24" s="232">
        <v>7114746.72</v>
      </c>
      <c r="E24" s="232">
        <v>7057528.09</v>
      </c>
      <c r="F24" s="172">
        <f aca="true" t="shared" si="3" ref="F24:F34">(+D24-E24)/E24</f>
        <v>0.008107460469207978</v>
      </c>
      <c r="G24" s="247">
        <f aca="true" t="shared" si="4" ref="G24:G34">D24/C24</f>
        <v>0.0849264755897932</v>
      </c>
      <c r="H24" s="248">
        <f aca="true" t="shared" si="5" ref="H24:H34">1-G24</f>
        <v>0.9150735244102068</v>
      </c>
      <c r="I24" s="163"/>
    </row>
    <row r="25" spans="1:9" ht="15.75">
      <c r="A25" s="20"/>
      <c r="B25" s="171">
        <f>DATE(11,8,1)</f>
        <v>4231</v>
      </c>
      <c r="C25" s="232">
        <v>74224768.33</v>
      </c>
      <c r="D25" s="232">
        <v>6378278.9</v>
      </c>
      <c r="E25" s="232">
        <v>6357488.27</v>
      </c>
      <c r="F25" s="172">
        <f t="shared" si="3"/>
        <v>0.0032702584915663274</v>
      </c>
      <c r="G25" s="247">
        <f t="shared" si="4"/>
        <v>0.08593194756287359</v>
      </c>
      <c r="H25" s="248">
        <f t="shared" si="5"/>
        <v>0.9140680524371264</v>
      </c>
      <c r="I25" s="163"/>
    </row>
    <row r="26" spans="1:9" ht="15.75">
      <c r="A26" s="20"/>
      <c r="B26" s="171">
        <f>DATE(11,9,1)</f>
        <v>4262</v>
      </c>
      <c r="C26" s="232">
        <v>73563404.69</v>
      </c>
      <c r="D26" s="232">
        <v>6379505.08</v>
      </c>
      <c r="E26" s="232">
        <v>6421690.91</v>
      </c>
      <c r="F26" s="172">
        <f t="shared" si="3"/>
        <v>-0.0065692713323070966</v>
      </c>
      <c r="G26" s="247">
        <f t="shared" si="4"/>
        <v>0.08672117755946133</v>
      </c>
      <c r="H26" s="248">
        <f t="shared" si="5"/>
        <v>0.9132788224405387</v>
      </c>
      <c r="I26" s="163"/>
    </row>
    <row r="27" spans="1:9" ht="15.75">
      <c r="A27" s="20"/>
      <c r="B27" s="171">
        <f>DATE(11,10,1)</f>
        <v>4292</v>
      </c>
      <c r="C27" s="232">
        <v>75729002.91</v>
      </c>
      <c r="D27" s="232">
        <v>6326222.91</v>
      </c>
      <c r="E27" s="232">
        <v>6866939.17</v>
      </c>
      <c r="F27" s="172">
        <f t="shared" si="3"/>
        <v>-0.07874196153684579</v>
      </c>
      <c r="G27" s="247">
        <f t="shared" si="4"/>
        <v>0.08353764960458265</v>
      </c>
      <c r="H27" s="248">
        <f t="shared" si="5"/>
        <v>0.9164623503954173</v>
      </c>
      <c r="I27" s="163"/>
    </row>
    <row r="28" spans="1:9" ht="15.75">
      <c r="A28" s="20"/>
      <c r="B28" s="171">
        <f>DATE(11,11,1)</f>
        <v>4323</v>
      </c>
      <c r="C28" s="232">
        <v>69731684.9</v>
      </c>
      <c r="D28" s="232">
        <v>5840627.37</v>
      </c>
      <c r="E28" s="232">
        <v>6171400.77</v>
      </c>
      <c r="F28" s="172">
        <f t="shared" si="3"/>
        <v>-0.053597783117235384</v>
      </c>
      <c r="G28" s="247">
        <f t="shared" si="4"/>
        <v>0.08375858662207658</v>
      </c>
      <c r="H28" s="248">
        <f t="shared" si="5"/>
        <v>0.9162414133779234</v>
      </c>
      <c r="I28" s="163"/>
    </row>
    <row r="29" spans="1:9" ht="15.75">
      <c r="A29" s="20"/>
      <c r="B29" s="171">
        <f>DATE(11,12,1)</f>
        <v>4353</v>
      </c>
      <c r="C29" s="232">
        <v>71948980.91</v>
      </c>
      <c r="D29" s="232">
        <v>6304210.04</v>
      </c>
      <c r="E29" s="232">
        <v>5757398.45</v>
      </c>
      <c r="F29" s="172">
        <f t="shared" si="3"/>
        <v>0.09497546413519457</v>
      </c>
      <c r="G29" s="247">
        <f t="shared" si="4"/>
        <v>0.08762056057313516</v>
      </c>
      <c r="H29" s="248">
        <f t="shared" si="5"/>
        <v>0.9123794394268648</v>
      </c>
      <c r="I29" s="163"/>
    </row>
    <row r="30" spans="1:9" ht="15.75">
      <c r="A30" s="20"/>
      <c r="B30" s="171">
        <f>DATE(12,1,1)</f>
        <v>4384</v>
      </c>
      <c r="C30" s="232">
        <v>75018397.78</v>
      </c>
      <c r="D30" s="232">
        <v>6276106.11</v>
      </c>
      <c r="E30" s="232">
        <v>5595585.67</v>
      </c>
      <c r="F30" s="172">
        <f t="shared" si="3"/>
        <v>0.12161737486185256</v>
      </c>
      <c r="G30" s="247">
        <f t="shared" si="4"/>
        <v>0.08366089247074293</v>
      </c>
      <c r="H30" s="248">
        <f t="shared" si="5"/>
        <v>0.9163391075292571</v>
      </c>
      <c r="I30" s="163"/>
    </row>
    <row r="31" spans="1:9" ht="15.75">
      <c r="A31" s="20"/>
      <c r="B31" s="171">
        <f>DATE(12,2,1)</f>
        <v>4415</v>
      </c>
      <c r="C31" s="232">
        <v>80683943.02</v>
      </c>
      <c r="D31" s="232">
        <v>6915318.03</v>
      </c>
      <c r="E31" s="232">
        <v>6106314.36</v>
      </c>
      <c r="F31" s="172">
        <f t="shared" si="3"/>
        <v>0.13248641034589642</v>
      </c>
      <c r="G31" s="247">
        <f t="shared" si="4"/>
        <v>0.08570872680684218</v>
      </c>
      <c r="H31" s="248">
        <f t="shared" si="5"/>
        <v>0.9142912731931578</v>
      </c>
      <c r="I31" s="163"/>
    </row>
    <row r="32" spans="1:9" ht="15.75">
      <c r="A32" s="20"/>
      <c r="B32" s="171">
        <f>DATE(12,3,1)</f>
        <v>4444</v>
      </c>
      <c r="C32" s="232">
        <v>85303675.02</v>
      </c>
      <c r="D32" s="232">
        <v>7312465.54</v>
      </c>
      <c r="E32" s="232">
        <v>6795101.01</v>
      </c>
      <c r="F32" s="172">
        <f t="shared" si="3"/>
        <v>0.07613787186365906</v>
      </c>
      <c r="G32" s="247">
        <f t="shared" si="4"/>
        <v>0.0857227492049498</v>
      </c>
      <c r="H32" s="248">
        <f t="shared" si="5"/>
        <v>0.9142772507950502</v>
      </c>
      <c r="I32" s="163"/>
    </row>
    <row r="33" spans="1:9" ht="15.75">
      <c r="A33" s="20"/>
      <c r="B33" s="171">
        <f>DATE(12,4,1)</f>
        <v>4475</v>
      </c>
      <c r="C33" s="232">
        <v>77197415.75</v>
      </c>
      <c r="D33" s="232">
        <v>6322306.43</v>
      </c>
      <c r="E33" s="232">
        <v>6508877.52</v>
      </c>
      <c r="F33" s="172">
        <f t="shared" si="3"/>
        <v>-0.028664095986860705</v>
      </c>
      <c r="G33" s="247">
        <f t="shared" si="4"/>
        <v>0.08189790252143252</v>
      </c>
      <c r="H33" s="248">
        <f t="shared" si="5"/>
        <v>0.9181020974785675</v>
      </c>
      <c r="I33" s="163"/>
    </row>
    <row r="34" spans="1:9" ht="15.75">
      <c r="A34" s="20"/>
      <c r="B34" s="171">
        <f>DATE(12,5,1)</f>
        <v>4505</v>
      </c>
      <c r="C34" s="232">
        <v>74392243.08</v>
      </c>
      <c r="D34" s="232">
        <v>6555534.59</v>
      </c>
      <c r="E34" s="232">
        <v>6512016.47</v>
      </c>
      <c r="F34" s="172">
        <f t="shared" si="3"/>
        <v>0.006682741083423598</v>
      </c>
      <c r="G34" s="247">
        <f t="shared" si="4"/>
        <v>0.0881212115482296</v>
      </c>
      <c r="H34" s="248">
        <f t="shared" si="5"/>
        <v>0.9118787884517704</v>
      </c>
      <c r="I34" s="163"/>
    </row>
    <row r="35" spans="1:9" ht="15.75" thickBot="1">
      <c r="A35" s="173"/>
      <c r="B35" s="171"/>
      <c r="C35" s="232"/>
      <c r="D35" s="232"/>
      <c r="E35" s="232"/>
      <c r="F35" s="172"/>
      <c r="G35" s="247"/>
      <c r="H35" s="248"/>
      <c r="I35" s="163"/>
    </row>
    <row r="36" spans="1:9" ht="17.25" thickBot="1" thickTop="1">
      <c r="A36" s="175" t="s">
        <v>14</v>
      </c>
      <c r="B36" s="161"/>
      <c r="C36" s="229">
        <f>SUM(C24:C35)</f>
        <v>841568884.0899999</v>
      </c>
      <c r="D36" s="229">
        <f>SUM(D24:D35)</f>
        <v>71725321.72</v>
      </c>
      <c r="E36" s="229">
        <f>SUM(E24:E35)</f>
        <v>70150340.69</v>
      </c>
      <c r="F36" s="176">
        <f>(+D36-E36)/E36</f>
        <v>0.0224515093513226</v>
      </c>
      <c r="G36" s="242">
        <f>D36/C36</f>
        <v>0.08522810559655801</v>
      </c>
      <c r="H36" s="243">
        <f>1-G36</f>
        <v>0.914771894403442</v>
      </c>
      <c r="I36" s="163"/>
    </row>
    <row r="37" spans="1:9" ht="15.75" thickTop="1">
      <c r="A37" s="177"/>
      <c r="B37" s="178"/>
      <c r="C37" s="233"/>
      <c r="D37" s="233"/>
      <c r="E37" s="233"/>
      <c r="F37" s="179"/>
      <c r="G37" s="249"/>
      <c r="H37" s="250"/>
      <c r="I37" s="163"/>
    </row>
    <row r="38" spans="1:9" ht="15.75">
      <c r="A38" s="20" t="s">
        <v>64</v>
      </c>
      <c r="B38" s="171">
        <f>DATE(11,7,1)</f>
        <v>4200</v>
      </c>
      <c r="C38" s="232">
        <v>24966779.77</v>
      </c>
      <c r="D38" s="232">
        <v>2705765.16</v>
      </c>
      <c r="E38" s="232">
        <v>2850989.29</v>
      </c>
      <c r="F38" s="172">
        <f aca="true" t="shared" si="6" ref="F38:F48">(+D38-E38)/E38</f>
        <v>-0.05093815347163226</v>
      </c>
      <c r="G38" s="247">
        <f aca="true" t="shared" si="7" ref="G38:G48">D38/C38</f>
        <v>0.10837461558623747</v>
      </c>
      <c r="H38" s="248">
        <f aca="true" t="shared" si="8" ref="H38:H48">1-G38</f>
        <v>0.8916253844137625</v>
      </c>
      <c r="I38" s="163"/>
    </row>
    <row r="39" spans="1:9" ht="15.75">
      <c r="A39" s="20"/>
      <c r="B39" s="171">
        <f>DATE(11,8,1)</f>
        <v>4231</v>
      </c>
      <c r="C39" s="232">
        <v>22627199.18</v>
      </c>
      <c r="D39" s="232">
        <v>2406758.12</v>
      </c>
      <c r="E39" s="232">
        <v>2557961.5</v>
      </c>
      <c r="F39" s="172">
        <f t="shared" si="6"/>
        <v>-0.05911088966741677</v>
      </c>
      <c r="G39" s="247">
        <f t="shared" si="7"/>
        <v>0.10636571061465329</v>
      </c>
      <c r="H39" s="248">
        <f t="shared" si="8"/>
        <v>0.8936342893853467</v>
      </c>
      <c r="I39" s="163"/>
    </row>
    <row r="40" spans="1:9" ht="15.75">
      <c r="A40" s="20"/>
      <c r="B40" s="171">
        <f>DATE(11,9,1)</f>
        <v>4262</v>
      </c>
      <c r="C40" s="232">
        <v>23160624.51</v>
      </c>
      <c r="D40" s="232">
        <v>2539001.84</v>
      </c>
      <c r="E40" s="232">
        <v>2574424.67</v>
      </c>
      <c r="F40" s="172">
        <f t="shared" si="6"/>
        <v>-0.013759513110942988</v>
      </c>
      <c r="G40" s="247">
        <f t="shared" si="7"/>
        <v>0.10962579350585913</v>
      </c>
      <c r="H40" s="248">
        <f t="shared" si="8"/>
        <v>0.8903742064941409</v>
      </c>
      <c r="I40" s="163"/>
    </row>
    <row r="41" spans="1:9" ht="15.75">
      <c r="A41" s="20"/>
      <c r="B41" s="171">
        <f>DATE(11,10,1)</f>
        <v>4292</v>
      </c>
      <c r="C41" s="232">
        <v>22603890.37</v>
      </c>
      <c r="D41" s="232">
        <v>2486856.67</v>
      </c>
      <c r="E41" s="232">
        <v>2583750.13</v>
      </c>
      <c r="F41" s="172">
        <f t="shared" si="6"/>
        <v>-0.037501095355532685</v>
      </c>
      <c r="G41" s="247">
        <f t="shared" si="7"/>
        <v>0.11001896705801444</v>
      </c>
      <c r="H41" s="248">
        <f t="shared" si="8"/>
        <v>0.8899810329419856</v>
      </c>
      <c r="I41" s="163"/>
    </row>
    <row r="42" spans="1:9" ht="15.75">
      <c r="A42" s="20"/>
      <c r="B42" s="171">
        <f>DATE(11,11,1)</f>
        <v>4323</v>
      </c>
      <c r="C42" s="232">
        <v>20846038.57</v>
      </c>
      <c r="D42" s="232">
        <v>2332204.21</v>
      </c>
      <c r="E42" s="232">
        <v>2303738.27</v>
      </c>
      <c r="F42" s="172">
        <f t="shared" si="6"/>
        <v>0.012356412345400653</v>
      </c>
      <c r="G42" s="247">
        <f t="shared" si="7"/>
        <v>0.11187757338971478</v>
      </c>
      <c r="H42" s="248">
        <f t="shared" si="8"/>
        <v>0.8881224266102852</v>
      </c>
      <c r="I42" s="163"/>
    </row>
    <row r="43" spans="1:9" ht="15.75">
      <c r="A43" s="20"/>
      <c r="B43" s="171">
        <f>DATE(11,12,1)</f>
        <v>4353</v>
      </c>
      <c r="C43" s="232">
        <v>24105980.8</v>
      </c>
      <c r="D43" s="232">
        <v>2671411.72</v>
      </c>
      <c r="E43" s="232">
        <v>2277749.86</v>
      </c>
      <c r="F43" s="172">
        <f t="shared" si="6"/>
        <v>0.1728292763455599</v>
      </c>
      <c r="G43" s="247">
        <f t="shared" si="7"/>
        <v>0.1108194577173147</v>
      </c>
      <c r="H43" s="248">
        <f t="shared" si="8"/>
        <v>0.8891805422826853</v>
      </c>
      <c r="I43" s="163"/>
    </row>
    <row r="44" spans="1:9" ht="15.75">
      <c r="A44" s="20"/>
      <c r="B44" s="171">
        <f>DATE(12,1,1)</f>
        <v>4384</v>
      </c>
      <c r="C44" s="232">
        <v>22536472.09</v>
      </c>
      <c r="D44" s="232">
        <v>2427502.22</v>
      </c>
      <c r="E44" s="232">
        <v>2302212.53</v>
      </c>
      <c r="F44" s="172">
        <f t="shared" si="6"/>
        <v>0.054421426504876344</v>
      </c>
      <c r="G44" s="247">
        <f t="shared" si="7"/>
        <v>0.10771438450107478</v>
      </c>
      <c r="H44" s="248">
        <f t="shared" si="8"/>
        <v>0.8922856154989253</v>
      </c>
      <c r="I44" s="163"/>
    </row>
    <row r="45" spans="1:9" ht="15.75">
      <c r="A45" s="20"/>
      <c r="B45" s="171">
        <f>DATE(12,2,1)</f>
        <v>4415</v>
      </c>
      <c r="C45" s="232">
        <v>28899179.08</v>
      </c>
      <c r="D45" s="232">
        <v>3196147.03</v>
      </c>
      <c r="E45" s="232">
        <v>2817541.21</v>
      </c>
      <c r="F45" s="172">
        <f t="shared" si="6"/>
        <v>0.13437454566991047</v>
      </c>
      <c r="G45" s="247">
        <f t="shared" si="7"/>
        <v>0.11059646438925766</v>
      </c>
      <c r="H45" s="248">
        <f t="shared" si="8"/>
        <v>0.8894035356107424</v>
      </c>
      <c r="I45" s="163"/>
    </row>
    <row r="46" spans="1:9" ht="15.75">
      <c r="A46" s="20"/>
      <c r="B46" s="171">
        <f>DATE(12,3,1)</f>
        <v>4444</v>
      </c>
      <c r="C46" s="232">
        <v>27504869.56</v>
      </c>
      <c r="D46" s="232">
        <v>3007653.47</v>
      </c>
      <c r="E46" s="232">
        <v>2799731.51</v>
      </c>
      <c r="F46" s="172">
        <f t="shared" si="6"/>
        <v>0.07426496407150143</v>
      </c>
      <c r="G46" s="247">
        <f t="shared" si="7"/>
        <v>0.1093498539754573</v>
      </c>
      <c r="H46" s="248">
        <f t="shared" si="8"/>
        <v>0.8906501460245427</v>
      </c>
      <c r="I46" s="163"/>
    </row>
    <row r="47" spans="1:9" ht="15.75">
      <c r="A47" s="20"/>
      <c r="B47" s="171">
        <f>DATE(12,4,1)</f>
        <v>4475</v>
      </c>
      <c r="C47" s="232">
        <v>24512757.05</v>
      </c>
      <c r="D47" s="232">
        <v>2715161.83</v>
      </c>
      <c r="E47" s="232">
        <v>2484296.46</v>
      </c>
      <c r="F47" s="172">
        <f t="shared" si="6"/>
        <v>0.09292987923027517</v>
      </c>
      <c r="G47" s="247">
        <f t="shared" si="7"/>
        <v>0.11076525681961182</v>
      </c>
      <c r="H47" s="248">
        <f t="shared" si="8"/>
        <v>0.8892347431803882</v>
      </c>
      <c r="I47" s="163"/>
    </row>
    <row r="48" spans="1:9" ht="15.75">
      <c r="A48" s="20"/>
      <c r="B48" s="171">
        <f>DATE(12,5,1)</f>
        <v>4505</v>
      </c>
      <c r="C48" s="232">
        <v>24173094.91</v>
      </c>
      <c r="D48" s="232">
        <v>2648979.57</v>
      </c>
      <c r="E48" s="232">
        <v>1588918.78</v>
      </c>
      <c r="F48" s="172">
        <f t="shared" si="6"/>
        <v>0.6671585755944051</v>
      </c>
      <c r="G48" s="247">
        <f t="shared" si="7"/>
        <v>0.10958379884175119</v>
      </c>
      <c r="H48" s="248">
        <f t="shared" si="8"/>
        <v>0.8904162011582488</v>
      </c>
      <c r="I48" s="163"/>
    </row>
    <row r="49" spans="1:9" ht="15.75" thickBot="1">
      <c r="A49" s="173"/>
      <c r="B49" s="171"/>
      <c r="C49" s="232"/>
      <c r="D49" s="232"/>
      <c r="E49" s="232"/>
      <c r="F49" s="172"/>
      <c r="G49" s="247"/>
      <c r="H49" s="248"/>
      <c r="I49" s="163"/>
    </row>
    <row r="50" spans="1:9" ht="17.25" thickBot="1" thickTop="1">
      <c r="A50" s="180" t="s">
        <v>14</v>
      </c>
      <c r="B50" s="181"/>
      <c r="C50" s="234">
        <f>SUM(C38:C49)</f>
        <v>265936885.89000002</v>
      </c>
      <c r="D50" s="234">
        <f>SUM(D38:D49)</f>
        <v>29137441.840000004</v>
      </c>
      <c r="E50" s="234">
        <f>SUM(E38:E49)</f>
        <v>27141314.21</v>
      </c>
      <c r="F50" s="182">
        <f>(+D50-E50)/E50</f>
        <v>0.07354572496215181</v>
      </c>
      <c r="G50" s="251">
        <f>D50/C50</f>
        <v>0.10956525170431672</v>
      </c>
      <c r="H50" s="252">
        <f>1-G50</f>
        <v>0.8904347482956833</v>
      </c>
      <c r="I50" s="163"/>
    </row>
    <row r="51" spans="1:9" ht="15.75" thickTop="1">
      <c r="A51" s="173"/>
      <c r="B51" s="174"/>
      <c r="C51" s="232"/>
      <c r="D51" s="232"/>
      <c r="E51" s="232"/>
      <c r="F51" s="172"/>
      <c r="G51" s="247"/>
      <c r="H51" s="248"/>
      <c r="I51" s="163"/>
    </row>
    <row r="52" spans="1:9" ht="15.75">
      <c r="A52" s="183" t="s">
        <v>41</v>
      </c>
      <c r="B52" s="171">
        <f>DATE(11,7,1)</f>
        <v>4200</v>
      </c>
      <c r="C52" s="232">
        <v>234523755.21</v>
      </c>
      <c r="D52" s="232">
        <v>21734367.86</v>
      </c>
      <c r="E52" s="232">
        <v>22090550.23</v>
      </c>
      <c r="F52" s="172">
        <f aca="true" t="shared" si="9" ref="F52:F62">(+D52-E52)/E52</f>
        <v>-0.01612374369545077</v>
      </c>
      <c r="G52" s="247">
        <f aca="true" t="shared" si="10" ref="G52:G62">D52/C52</f>
        <v>0.09267448340377442</v>
      </c>
      <c r="H52" s="248">
        <f aca="true" t="shared" si="11" ref="H52:H62">1-G52</f>
        <v>0.9073255165962256</v>
      </c>
      <c r="I52" s="163"/>
    </row>
    <row r="53" spans="1:9" ht="15.75">
      <c r="A53" s="183"/>
      <c r="B53" s="171">
        <f>DATE(11,8,1)</f>
        <v>4231</v>
      </c>
      <c r="C53" s="232">
        <v>208758722.93</v>
      </c>
      <c r="D53" s="232">
        <v>18639382.06</v>
      </c>
      <c r="E53" s="232">
        <v>19927779.59</v>
      </c>
      <c r="F53" s="172">
        <f t="shared" si="9"/>
        <v>-0.0646533410398886</v>
      </c>
      <c r="G53" s="247">
        <f t="shared" si="10"/>
        <v>0.0892867220032289</v>
      </c>
      <c r="H53" s="248">
        <f t="shared" si="11"/>
        <v>0.910713277996771</v>
      </c>
      <c r="I53" s="163"/>
    </row>
    <row r="54" spans="1:9" ht="15.75">
      <c r="A54" s="183"/>
      <c r="B54" s="171">
        <f>DATE(11,9,1)</f>
        <v>4262</v>
      </c>
      <c r="C54" s="232">
        <v>210541410.62</v>
      </c>
      <c r="D54" s="232">
        <v>19343462.15</v>
      </c>
      <c r="E54" s="232">
        <v>19914648.15</v>
      </c>
      <c r="F54" s="172">
        <f t="shared" si="9"/>
        <v>-0.0286817018155553</v>
      </c>
      <c r="G54" s="247">
        <f t="shared" si="10"/>
        <v>0.0918748577443154</v>
      </c>
      <c r="H54" s="248">
        <f t="shared" si="11"/>
        <v>0.9081251422556846</v>
      </c>
      <c r="I54" s="163"/>
    </row>
    <row r="55" spans="1:9" ht="15.75">
      <c r="A55" s="183"/>
      <c r="B55" s="171">
        <f>DATE(11,10,1)</f>
        <v>4292</v>
      </c>
      <c r="C55" s="232">
        <v>204961513.32</v>
      </c>
      <c r="D55" s="232">
        <v>18742741.85</v>
      </c>
      <c r="E55" s="232">
        <v>19882258.58</v>
      </c>
      <c r="F55" s="172">
        <f t="shared" si="9"/>
        <v>-0.057313243634516536</v>
      </c>
      <c r="G55" s="247">
        <f t="shared" si="10"/>
        <v>0.09144517693298618</v>
      </c>
      <c r="H55" s="248">
        <f t="shared" si="11"/>
        <v>0.9085548230670139</v>
      </c>
      <c r="I55" s="163"/>
    </row>
    <row r="56" spans="1:9" ht="15.75">
      <c r="A56" s="183"/>
      <c r="B56" s="171">
        <f>DATE(11,11,1)</f>
        <v>4323</v>
      </c>
      <c r="C56" s="232">
        <v>196265902.97</v>
      </c>
      <c r="D56" s="232">
        <v>17787446.38</v>
      </c>
      <c r="E56" s="232">
        <v>18279670.04</v>
      </c>
      <c r="F56" s="172">
        <f t="shared" si="9"/>
        <v>-0.02692738210935454</v>
      </c>
      <c r="G56" s="247">
        <f t="shared" si="10"/>
        <v>0.09062932537354121</v>
      </c>
      <c r="H56" s="248">
        <f t="shared" si="11"/>
        <v>0.9093706746264588</v>
      </c>
      <c r="I56" s="163"/>
    </row>
    <row r="57" spans="1:9" ht="15.75">
      <c r="A57" s="183"/>
      <c r="B57" s="171">
        <f>DATE(11,12,1)</f>
        <v>4353</v>
      </c>
      <c r="C57" s="232">
        <v>211285048.59</v>
      </c>
      <c r="D57" s="232">
        <v>19828015.42</v>
      </c>
      <c r="E57" s="232">
        <v>17954206.94</v>
      </c>
      <c r="F57" s="172">
        <f t="shared" si="9"/>
        <v>0.10436598432122117</v>
      </c>
      <c r="G57" s="247">
        <f t="shared" si="10"/>
        <v>0.0938448581777142</v>
      </c>
      <c r="H57" s="248">
        <f t="shared" si="11"/>
        <v>0.9061551418222858</v>
      </c>
      <c r="I57" s="163"/>
    </row>
    <row r="58" spans="1:9" ht="15.75">
      <c r="A58" s="183"/>
      <c r="B58" s="171">
        <f>DATE(12,1,1)</f>
        <v>4384</v>
      </c>
      <c r="C58" s="232">
        <v>197396463.83</v>
      </c>
      <c r="D58" s="232">
        <v>18274216.58</v>
      </c>
      <c r="E58" s="232">
        <v>17440373.22</v>
      </c>
      <c r="F58" s="172">
        <f t="shared" si="9"/>
        <v>0.04781109609763268</v>
      </c>
      <c r="G58" s="247">
        <f t="shared" si="10"/>
        <v>0.092576210462098</v>
      </c>
      <c r="H58" s="248">
        <f t="shared" si="11"/>
        <v>0.907423789537902</v>
      </c>
      <c r="I58" s="163"/>
    </row>
    <row r="59" spans="1:9" ht="15.75">
      <c r="A59" s="183"/>
      <c r="B59" s="171">
        <f>DATE(12,2,1)</f>
        <v>4415</v>
      </c>
      <c r="C59" s="232">
        <v>210304966.31</v>
      </c>
      <c r="D59" s="232">
        <v>19648863.39</v>
      </c>
      <c r="E59" s="232">
        <v>18730058.16</v>
      </c>
      <c r="F59" s="172">
        <f t="shared" si="9"/>
        <v>0.049055118897719456</v>
      </c>
      <c r="G59" s="247">
        <f t="shared" si="10"/>
        <v>0.09343033469326918</v>
      </c>
      <c r="H59" s="248">
        <f t="shared" si="11"/>
        <v>0.9065696653067308</v>
      </c>
      <c r="I59" s="163"/>
    </row>
    <row r="60" spans="1:9" ht="15.75">
      <c r="A60" s="183"/>
      <c r="B60" s="171">
        <f>DATE(12,3,1)</f>
        <v>4444</v>
      </c>
      <c r="C60" s="232">
        <v>221250793.22</v>
      </c>
      <c r="D60" s="232">
        <v>21124147.81</v>
      </c>
      <c r="E60" s="232">
        <v>20298068.95</v>
      </c>
      <c r="F60" s="172">
        <f t="shared" si="9"/>
        <v>0.04069741126778464</v>
      </c>
      <c r="G60" s="247">
        <f t="shared" si="10"/>
        <v>0.09547603198418941</v>
      </c>
      <c r="H60" s="248">
        <f t="shared" si="11"/>
        <v>0.9045239680158106</v>
      </c>
      <c r="I60" s="163"/>
    </row>
    <row r="61" spans="1:9" ht="15.75">
      <c r="A61" s="183"/>
      <c r="B61" s="171">
        <f>DATE(12,4,1)</f>
        <v>4475</v>
      </c>
      <c r="C61" s="232">
        <v>205693636.08</v>
      </c>
      <c r="D61" s="232">
        <v>19917943.16</v>
      </c>
      <c r="E61" s="232">
        <v>20378282.84</v>
      </c>
      <c r="F61" s="172">
        <f t="shared" si="9"/>
        <v>-0.02258971884993229</v>
      </c>
      <c r="G61" s="247">
        <f t="shared" si="10"/>
        <v>0.09683305492374764</v>
      </c>
      <c r="H61" s="248">
        <f t="shared" si="11"/>
        <v>0.9031669450762524</v>
      </c>
      <c r="I61" s="163"/>
    </row>
    <row r="62" spans="1:9" ht="15.75">
      <c r="A62" s="183"/>
      <c r="B62" s="171">
        <f>DATE(12,5,1)</f>
        <v>4505</v>
      </c>
      <c r="C62" s="232">
        <v>210614987.57</v>
      </c>
      <c r="D62" s="232">
        <v>19708363.16</v>
      </c>
      <c r="E62" s="232">
        <v>21092549.46</v>
      </c>
      <c r="F62" s="172">
        <f t="shared" si="9"/>
        <v>-0.06562441883210834</v>
      </c>
      <c r="G62" s="247">
        <f t="shared" si="10"/>
        <v>0.09357531193476784</v>
      </c>
      <c r="H62" s="248">
        <f t="shared" si="11"/>
        <v>0.9064246880652321</v>
      </c>
      <c r="I62" s="163"/>
    </row>
    <row r="63" spans="1:9" ht="15.75" thickBot="1">
      <c r="A63" s="173"/>
      <c r="B63" s="174"/>
      <c r="C63" s="232"/>
      <c r="D63" s="232"/>
      <c r="E63" s="232"/>
      <c r="F63" s="172"/>
      <c r="G63" s="247"/>
      <c r="H63" s="248"/>
      <c r="I63" s="163"/>
    </row>
    <row r="64" spans="1:9" ht="17.25" thickBot="1" thickTop="1">
      <c r="A64" s="180" t="s">
        <v>14</v>
      </c>
      <c r="B64" s="184"/>
      <c r="C64" s="234">
        <f>SUM(C52:C63)</f>
        <v>2311597200.6499996</v>
      </c>
      <c r="D64" s="234">
        <f>SUM(D52:D63)</f>
        <v>214748949.82</v>
      </c>
      <c r="E64" s="234">
        <f>SUM(E52:E63)</f>
        <v>215988446.16</v>
      </c>
      <c r="F64" s="182">
        <f>(+D64-E64)/E64</f>
        <v>-0.005738715945397418</v>
      </c>
      <c r="G64" s="251">
        <f>D64/C64</f>
        <v>0.09290067913199349</v>
      </c>
      <c r="H64" s="252">
        <f>1-G64</f>
        <v>0.9070993208680065</v>
      </c>
      <c r="I64" s="163"/>
    </row>
    <row r="65" spans="1:9" ht="15.75" thickTop="1">
      <c r="A65" s="173"/>
      <c r="B65" s="174"/>
      <c r="C65" s="232"/>
      <c r="D65" s="232"/>
      <c r="E65" s="232"/>
      <c r="F65" s="172"/>
      <c r="G65" s="247"/>
      <c r="H65" s="248"/>
      <c r="I65" s="163"/>
    </row>
    <row r="66" spans="1:9" ht="15.75">
      <c r="A66" s="170" t="s">
        <v>17</v>
      </c>
      <c r="B66" s="171">
        <f>DATE(11,7,1)</f>
        <v>4200</v>
      </c>
      <c r="C66" s="232">
        <v>156681444.53</v>
      </c>
      <c r="D66" s="232">
        <v>14708185.76</v>
      </c>
      <c r="E66" s="232">
        <v>14927115.89</v>
      </c>
      <c r="F66" s="172">
        <f aca="true" t="shared" si="12" ref="F66:F76">(+D66-E66)/E66</f>
        <v>-0.014666606169157357</v>
      </c>
      <c r="G66" s="247">
        <f aca="true" t="shared" si="13" ref="G66:G76">D66/C66</f>
        <v>0.09387318201029098</v>
      </c>
      <c r="H66" s="248">
        <f aca="true" t="shared" si="14" ref="H66:H76">1-G66</f>
        <v>0.9061268179897091</v>
      </c>
      <c r="I66" s="163"/>
    </row>
    <row r="67" spans="1:9" ht="15.75">
      <c r="A67" s="170"/>
      <c r="B67" s="171">
        <f>DATE(11,8,1)</f>
        <v>4231</v>
      </c>
      <c r="C67" s="232">
        <v>144458457.21</v>
      </c>
      <c r="D67" s="232">
        <v>13588315.24</v>
      </c>
      <c r="E67" s="232">
        <v>13793938.51</v>
      </c>
      <c r="F67" s="172">
        <f t="shared" si="12"/>
        <v>-0.014906784588820061</v>
      </c>
      <c r="G67" s="247">
        <f t="shared" si="13"/>
        <v>0.09406382639298574</v>
      </c>
      <c r="H67" s="248">
        <f t="shared" si="14"/>
        <v>0.9059361736070143</v>
      </c>
      <c r="I67" s="163"/>
    </row>
    <row r="68" spans="1:9" ht="15.75">
      <c r="A68" s="170"/>
      <c r="B68" s="171">
        <f>DATE(11,9,1)</f>
        <v>4262</v>
      </c>
      <c r="C68" s="232">
        <v>142081639.97</v>
      </c>
      <c r="D68" s="232">
        <v>13756146.76</v>
      </c>
      <c r="E68" s="232">
        <v>13365444.61</v>
      </c>
      <c r="F68" s="172">
        <f t="shared" si="12"/>
        <v>0.029232259861200413</v>
      </c>
      <c r="G68" s="247">
        <f t="shared" si="13"/>
        <v>0.09681860909618271</v>
      </c>
      <c r="H68" s="248">
        <f t="shared" si="14"/>
        <v>0.9031813909038173</v>
      </c>
      <c r="I68" s="163"/>
    </row>
    <row r="69" spans="1:9" ht="15.75">
      <c r="A69" s="170"/>
      <c r="B69" s="171">
        <f>DATE(11,10,1)</f>
        <v>4292</v>
      </c>
      <c r="C69" s="232">
        <v>140840059.85</v>
      </c>
      <c r="D69" s="232">
        <v>13420012.56</v>
      </c>
      <c r="E69" s="232">
        <v>14430099</v>
      </c>
      <c r="F69" s="172">
        <f t="shared" si="12"/>
        <v>-0.06999858005132185</v>
      </c>
      <c r="G69" s="247">
        <f t="shared" si="13"/>
        <v>0.09528547896310767</v>
      </c>
      <c r="H69" s="248">
        <f t="shared" si="14"/>
        <v>0.9047145210368923</v>
      </c>
      <c r="I69" s="163"/>
    </row>
    <row r="70" spans="1:9" ht="15.75">
      <c r="A70" s="170"/>
      <c r="B70" s="171">
        <f>DATE(11,11,1)</f>
        <v>4323</v>
      </c>
      <c r="C70" s="232">
        <v>137954350.2</v>
      </c>
      <c r="D70" s="232">
        <v>12983597.86</v>
      </c>
      <c r="E70" s="232">
        <v>13325478.5</v>
      </c>
      <c r="F70" s="172">
        <f t="shared" si="12"/>
        <v>-0.025656162365951855</v>
      </c>
      <c r="G70" s="247">
        <f t="shared" si="13"/>
        <v>0.094115175354579</v>
      </c>
      <c r="H70" s="248">
        <f t="shared" si="14"/>
        <v>0.905884824645421</v>
      </c>
      <c r="I70" s="163"/>
    </row>
    <row r="71" spans="1:9" ht="15.75">
      <c r="A71" s="170"/>
      <c r="B71" s="171">
        <f>DATE(11,12,1)</f>
        <v>4353</v>
      </c>
      <c r="C71" s="232">
        <v>149671804.21</v>
      </c>
      <c r="D71" s="232">
        <v>14316395.61</v>
      </c>
      <c r="E71" s="232">
        <v>13471160.65</v>
      </c>
      <c r="F71" s="172">
        <f t="shared" si="12"/>
        <v>0.06274403386318454</v>
      </c>
      <c r="G71" s="247">
        <f t="shared" si="13"/>
        <v>0.0956519211187773</v>
      </c>
      <c r="H71" s="248">
        <f t="shared" si="14"/>
        <v>0.9043480788812227</v>
      </c>
      <c r="I71" s="163"/>
    </row>
    <row r="72" spans="1:9" ht="15.75">
      <c r="A72" s="170"/>
      <c r="B72" s="171">
        <f>DATE(12,1,1)</f>
        <v>4384</v>
      </c>
      <c r="C72" s="232">
        <v>130307601.5</v>
      </c>
      <c r="D72" s="232">
        <v>11966126.31</v>
      </c>
      <c r="E72" s="232">
        <v>12355892.32</v>
      </c>
      <c r="F72" s="172">
        <f t="shared" si="12"/>
        <v>-0.03154495036907215</v>
      </c>
      <c r="G72" s="247">
        <f t="shared" si="13"/>
        <v>0.09182984087079525</v>
      </c>
      <c r="H72" s="248">
        <f t="shared" si="14"/>
        <v>0.9081701591292047</v>
      </c>
      <c r="I72" s="163"/>
    </row>
    <row r="73" spans="1:9" ht="15.75">
      <c r="A73" s="170"/>
      <c r="B73" s="171">
        <f>DATE(12,2,1)</f>
        <v>4415</v>
      </c>
      <c r="C73" s="232">
        <v>134035076.26</v>
      </c>
      <c r="D73" s="232">
        <v>12925328.75</v>
      </c>
      <c r="E73" s="232">
        <v>12791816.41</v>
      </c>
      <c r="F73" s="172">
        <f t="shared" si="12"/>
        <v>0.010437324592590823</v>
      </c>
      <c r="G73" s="247">
        <f t="shared" si="13"/>
        <v>0.0964324347824264</v>
      </c>
      <c r="H73" s="248">
        <f t="shared" si="14"/>
        <v>0.9035675652175736</v>
      </c>
      <c r="I73" s="163"/>
    </row>
    <row r="74" spans="1:9" ht="15.75">
      <c r="A74" s="170"/>
      <c r="B74" s="171">
        <f>DATE(12,3,1)</f>
        <v>4444</v>
      </c>
      <c r="C74" s="232">
        <v>152363791.54</v>
      </c>
      <c r="D74" s="232">
        <v>14791125.74</v>
      </c>
      <c r="E74" s="232">
        <v>14602014.86</v>
      </c>
      <c r="F74" s="172">
        <f t="shared" si="12"/>
        <v>0.012951012707023148</v>
      </c>
      <c r="G74" s="247">
        <f t="shared" si="13"/>
        <v>0.097077695366467</v>
      </c>
      <c r="H74" s="248">
        <f t="shared" si="14"/>
        <v>0.902922304633533</v>
      </c>
      <c r="I74" s="163"/>
    </row>
    <row r="75" spans="1:9" ht="15.75">
      <c r="A75" s="170"/>
      <c r="B75" s="171">
        <f>DATE(12,4,1)</f>
        <v>4475</v>
      </c>
      <c r="C75" s="232">
        <v>140643776.97</v>
      </c>
      <c r="D75" s="232">
        <v>13552273.92</v>
      </c>
      <c r="E75" s="232">
        <v>14927768.96</v>
      </c>
      <c r="F75" s="172">
        <f t="shared" si="12"/>
        <v>-0.09214337679567093</v>
      </c>
      <c r="G75" s="247">
        <f t="shared" si="13"/>
        <v>0.09635885932507889</v>
      </c>
      <c r="H75" s="248">
        <f t="shared" si="14"/>
        <v>0.9036411406749211</v>
      </c>
      <c r="I75" s="163"/>
    </row>
    <row r="76" spans="1:9" ht="15.75">
      <c r="A76" s="170"/>
      <c r="B76" s="171">
        <f>DATE(12,5,1)</f>
        <v>4505</v>
      </c>
      <c r="C76" s="232">
        <v>140366494.75</v>
      </c>
      <c r="D76" s="232">
        <v>13190941.68</v>
      </c>
      <c r="E76" s="232">
        <v>14065223.09</v>
      </c>
      <c r="F76" s="172">
        <f t="shared" si="12"/>
        <v>-0.062159085881943174</v>
      </c>
      <c r="G76" s="247">
        <f t="shared" si="13"/>
        <v>0.09397500239279859</v>
      </c>
      <c r="H76" s="248">
        <f t="shared" si="14"/>
        <v>0.9060249976072015</v>
      </c>
      <c r="I76" s="163"/>
    </row>
    <row r="77" spans="1:9" ht="15.75" thickBot="1">
      <c r="A77" s="173"/>
      <c r="B77" s="171"/>
      <c r="C77" s="232"/>
      <c r="D77" s="232"/>
      <c r="E77" s="232"/>
      <c r="F77" s="172"/>
      <c r="G77" s="247"/>
      <c r="H77" s="248"/>
      <c r="I77" s="163"/>
    </row>
    <row r="78" spans="1:9" ht="17.25" thickBot="1" thickTop="1">
      <c r="A78" s="180" t="s">
        <v>14</v>
      </c>
      <c r="B78" s="181"/>
      <c r="C78" s="234">
        <f>SUM(C66:C77)</f>
        <v>1569404496.99</v>
      </c>
      <c r="D78" s="236">
        <f>SUM(D66:D77)</f>
        <v>149198450.19</v>
      </c>
      <c r="E78" s="279">
        <f>SUM(E66:E77)</f>
        <v>152055952.79999998</v>
      </c>
      <c r="F78" s="280">
        <f>(+D78-E78)/E78</f>
        <v>-0.01879244158075464</v>
      </c>
      <c r="G78" s="255">
        <f>D78/C78</f>
        <v>0.09506691899771628</v>
      </c>
      <c r="H78" s="278">
        <f>1-G78</f>
        <v>0.9049330810022838</v>
      </c>
      <c r="I78" s="163"/>
    </row>
    <row r="79" spans="1:9" ht="15.75" thickTop="1">
      <c r="A79" s="173"/>
      <c r="B79" s="174"/>
      <c r="C79" s="232"/>
      <c r="D79" s="232"/>
      <c r="E79" s="232"/>
      <c r="F79" s="172"/>
      <c r="G79" s="247"/>
      <c r="H79" s="248"/>
      <c r="I79" s="163"/>
    </row>
    <row r="80" spans="1:9" ht="15.75">
      <c r="A80" s="170" t="s">
        <v>18</v>
      </c>
      <c r="B80" s="171">
        <f>DATE(11,7,1)</f>
        <v>4200</v>
      </c>
      <c r="C80" s="232">
        <v>70969259.47</v>
      </c>
      <c r="D80" s="232">
        <v>6935260.95</v>
      </c>
      <c r="E80" s="232">
        <v>6706512.07</v>
      </c>
      <c r="F80" s="172">
        <f aca="true" t="shared" si="15" ref="F80:F90">(+D80-E80)/E80</f>
        <v>0.03410847212566038</v>
      </c>
      <c r="G80" s="247">
        <f aca="true" t="shared" si="16" ref="G80:G90">D80/C80</f>
        <v>0.0977220419346726</v>
      </c>
      <c r="H80" s="248">
        <f aca="true" t="shared" si="17" ref="H80:H90">1-G80</f>
        <v>0.9022779580653274</v>
      </c>
      <c r="I80" s="163"/>
    </row>
    <row r="81" spans="1:9" ht="15.75">
      <c r="A81" s="170"/>
      <c r="B81" s="171">
        <f>DATE(11,8,1)</f>
        <v>4231</v>
      </c>
      <c r="C81" s="232">
        <v>68358763.38</v>
      </c>
      <c r="D81" s="232">
        <v>6599014.12</v>
      </c>
      <c r="E81" s="232">
        <v>6475877.77</v>
      </c>
      <c r="F81" s="172">
        <f t="shared" si="15"/>
        <v>0.019014619233617896</v>
      </c>
      <c r="G81" s="247">
        <f t="shared" si="16"/>
        <v>0.09653501312358001</v>
      </c>
      <c r="H81" s="248">
        <f t="shared" si="17"/>
        <v>0.90346498687642</v>
      </c>
      <c r="I81" s="163"/>
    </row>
    <row r="82" spans="1:9" ht="15.75">
      <c r="A82" s="170"/>
      <c r="B82" s="171">
        <f>DATE(11,9,1)</f>
        <v>4262</v>
      </c>
      <c r="C82" s="232">
        <v>67713421.01</v>
      </c>
      <c r="D82" s="232">
        <v>6575172</v>
      </c>
      <c r="E82" s="232">
        <v>6307633.44</v>
      </c>
      <c r="F82" s="172">
        <f t="shared" si="15"/>
        <v>0.04241504560226943</v>
      </c>
      <c r="G82" s="247">
        <f t="shared" si="16"/>
        <v>0.09710293619678395</v>
      </c>
      <c r="H82" s="248">
        <f t="shared" si="17"/>
        <v>0.9028970638032161</v>
      </c>
      <c r="I82" s="163"/>
    </row>
    <row r="83" spans="1:9" ht="15.75">
      <c r="A83" s="170"/>
      <c r="B83" s="171">
        <f>DATE(11,10,1)</f>
        <v>4292</v>
      </c>
      <c r="C83" s="232">
        <v>66672104.27</v>
      </c>
      <c r="D83" s="232">
        <v>6472614.91</v>
      </c>
      <c r="E83" s="232">
        <v>6535222.38</v>
      </c>
      <c r="F83" s="172">
        <f t="shared" si="15"/>
        <v>-0.009580006059411209</v>
      </c>
      <c r="G83" s="247">
        <f t="shared" si="16"/>
        <v>0.09708130530555999</v>
      </c>
      <c r="H83" s="248">
        <f t="shared" si="17"/>
        <v>0.90291869469444</v>
      </c>
      <c r="I83" s="163"/>
    </row>
    <row r="84" spans="1:9" ht="15.75">
      <c r="A84" s="170"/>
      <c r="B84" s="171">
        <f>DATE(11,11,1)</f>
        <v>4323</v>
      </c>
      <c r="C84" s="232">
        <v>64981219.45</v>
      </c>
      <c r="D84" s="232">
        <v>6255032.35</v>
      </c>
      <c r="E84" s="232">
        <v>5840674.52</v>
      </c>
      <c r="F84" s="172">
        <f t="shared" si="15"/>
        <v>0.07094348924617017</v>
      </c>
      <c r="G84" s="247">
        <f t="shared" si="16"/>
        <v>0.09625907920692306</v>
      </c>
      <c r="H84" s="248">
        <f t="shared" si="17"/>
        <v>0.9037409207930769</v>
      </c>
      <c r="I84" s="163"/>
    </row>
    <row r="85" spans="1:9" ht="15.75">
      <c r="A85" s="170"/>
      <c r="B85" s="171">
        <f>DATE(11,12,1)</f>
        <v>4353</v>
      </c>
      <c r="C85" s="232">
        <v>67649520.6</v>
      </c>
      <c r="D85" s="232">
        <v>6541825.41</v>
      </c>
      <c r="E85" s="232">
        <v>6213753.3</v>
      </c>
      <c r="F85" s="172">
        <f t="shared" si="15"/>
        <v>0.0527977365950464</v>
      </c>
      <c r="G85" s="247">
        <f t="shared" si="16"/>
        <v>0.0967017260725422</v>
      </c>
      <c r="H85" s="248">
        <f t="shared" si="17"/>
        <v>0.9032982739274578</v>
      </c>
      <c r="I85" s="163"/>
    </row>
    <row r="86" spans="1:9" ht="15.75">
      <c r="A86" s="170"/>
      <c r="B86" s="171">
        <f>DATE(12,1,1)</f>
        <v>4384</v>
      </c>
      <c r="C86" s="232">
        <v>67589303.16</v>
      </c>
      <c r="D86" s="232">
        <v>6650242.6</v>
      </c>
      <c r="E86" s="232">
        <v>5664336.11</v>
      </c>
      <c r="F86" s="172">
        <f t="shared" si="15"/>
        <v>0.17405508268823391</v>
      </c>
      <c r="G86" s="247">
        <f t="shared" si="16"/>
        <v>0.09839193909511523</v>
      </c>
      <c r="H86" s="248">
        <f t="shared" si="17"/>
        <v>0.9016080609048848</v>
      </c>
      <c r="I86" s="163"/>
    </row>
    <row r="87" spans="1:9" ht="15.75">
      <c r="A87" s="170"/>
      <c r="B87" s="171">
        <f>DATE(12,2,1)</f>
        <v>4415</v>
      </c>
      <c r="C87" s="232">
        <v>72760694.01</v>
      </c>
      <c r="D87" s="232">
        <v>7432101.52</v>
      </c>
      <c r="E87" s="232">
        <v>6707816.71</v>
      </c>
      <c r="F87" s="172">
        <f t="shared" si="15"/>
        <v>0.10797623747235628</v>
      </c>
      <c r="G87" s="247">
        <f t="shared" si="16"/>
        <v>0.10214445616720691</v>
      </c>
      <c r="H87" s="248">
        <f t="shared" si="17"/>
        <v>0.8978555438327931</v>
      </c>
      <c r="I87" s="163"/>
    </row>
    <row r="88" spans="1:9" ht="15.75">
      <c r="A88" s="170"/>
      <c r="B88" s="171">
        <f>DATE(12,3,1)</f>
        <v>4444</v>
      </c>
      <c r="C88" s="232">
        <v>73561590.84</v>
      </c>
      <c r="D88" s="232">
        <v>7419810.13</v>
      </c>
      <c r="E88" s="232">
        <v>7311862.62</v>
      </c>
      <c r="F88" s="172">
        <f t="shared" si="15"/>
        <v>0.014763339467666281</v>
      </c>
      <c r="G88" s="247">
        <f t="shared" si="16"/>
        <v>0.10086527555036763</v>
      </c>
      <c r="H88" s="248">
        <f t="shared" si="17"/>
        <v>0.8991347244496324</v>
      </c>
      <c r="I88" s="163"/>
    </row>
    <row r="89" spans="1:9" ht="15.75">
      <c r="A89" s="170"/>
      <c r="B89" s="171">
        <f>DATE(12,4,1)</f>
        <v>4475</v>
      </c>
      <c r="C89" s="232">
        <v>68491755.25</v>
      </c>
      <c r="D89" s="232">
        <v>6607935.92</v>
      </c>
      <c r="E89" s="232">
        <v>6798941.85</v>
      </c>
      <c r="F89" s="172">
        <f t="shared" si="15"/>
        <v>-0.028093478987469164</v>
      </c>
      <c r="G89" s="247">
        <f t="shared" si="16"/>
        <v>0.096477830008598</v>
      </c>
      <c r="H89" s="248">
        <f t="shared" si="17"/>
        <v>0.903522169991402</v>
      </c>
      <c r="I89" s="163"/>
    </row>
    <row r="90" spans="1:9" ht="15.75">
      <c r="A90" s="170"/>
      <c r="B90" s="171">
        <f>DATE(12,5,1)</f>
        <v>4505</v>
      </c>
      <c r="C90" s="232">
        <v>68045280.36</v>
      </c>
      <c r="D90" s="232">
        <v>6643553.11</v>
      </c>
      <c r="E90" s="232">
        <v>6559061.22</v>
      </c>
      <c r="F90" s="172">
        <f t="shared" si="15"/>
        <v>0.012881704738837702</v>
      </c>
      <c r="G90" s="247">
        <f t="shared" si="16"/>
        <v>0.09763429696889561</v>
      </c>
      <c r="H90" s="248">
        <f t="shared" si="17"/>
        <v>0.9023657030311044</v>
      </c>
      <c r="I90" s="163"/>
    </row>
    <row r="91" spans="1:9" ht="15.75" thickBot="1">
      <c r="A91" s="173"/>
      <c r="B91" s="171"/>
      <c r="C91" s="232"/>
      <c r="D91" s="232"/>
      <c r="E91" s="232"/>
      <c r="F91" s="172"/>
      <c r="G91" s="247"/>
      <c r="H91" s="248"/>
      <c r="I91" s="163"/>
    </row>
    <row r="92" spans="1:9" ht="17.25" thickBot="1" thickTop="1">
      <c r="A92" s="180" t="s">
        <v>14</v>
      </c>
      <c r="B92" s="181"/>
      <c r="C92" s="234">
        <f>SUM(C80:C91)</f>
        <v>756792911.8</v>
      </c>
      <c r="D92" s="236">
        <f>SUM(D80:D91)</f>
        <v>74132563.02</v>
      </c>
      <c r="E92" s="279">
        <f>SUM(E80:E91)</f>
        <v>71121691.99</v>
      </c>
      <c r="F92" s="280">
        <f>(+D92-E92)/E92</f>
        <v>0.04233407481958306</v>
      </c>
      <c r="G92" s="255">
        <f>D92/C92</f>
        <v>0.09795620686203155</v>
      </c>
      <c r="H92" s="278">
        <f>1-G92</f>
        <v>0.9020437931379685</v>
      </c>
      <c r="I92" s="163"/>
    </row>
    <row r="93" spans="1:9" ht="15.75" thickTop="1">
      <c r="A93" s="173"/>
      <c r="B93" s="174"/>
      <c r="C93" s="232"/>
      <c r="D93" s="232"/>
      <c r="E93" s="232"/>
      <c r="F93" s="172"/>
      <c r="G93" s="247"/>
      <c r="H93" s="248"/>
      <c r="I93" s="163"/>
    </row>
    <row r="94" spans="1:9" ht="15.75">
      <c r="A94" s="170" t="s">
        <v>60</v>
      </c>
      <c r="B94" s="171">
        <f>DATE(11,7,1)</f>
        <v>4200</v>
      </c>
      <c r="C94" s="232">
        <v>138260418.65</v>
      </c>
      <c r="D94" s="232">
        <v>12286825.82</v>
      </c>
      <c r="E94" s="232">
        <v>12514217.96</v>
      </c>
      <c r="F94" s="172">
        <f aca="true" t="shared" si="18" ref="F94:F104">(+D94-E94)/E94</f>
        <v>-0.018170703173528598</v>
      </c>
      <c r="G94" s="247">
        <f aca="true" t="shared" si="19" ref="G94:G104">D94/C94</f>
        <v>0.08886726902732404</v>
      </c>
      <c r="H94" s="248">
        <f aca="true" t="shared" si="20" ref="H94:H104">1-G94</f>
        <v>0.911132730972676</v>
      </c>
      <c r="I94" s="163"/>
    </row>
    <row r="95" spans="1:9" ht="15.75">
      <c r="A95" s="170"/>
      <c r="B95" s="171">
        <f>DATE(11,8,1)</f>
        <v>4231</v>
      </c>
      <c r="C95" s="232">
        <v>130030448.31</v>
      </c>
      <c r="D95" s="232">
        <v>11548317.57</v>
      </c>
      <c r="E95" s="232">
        <v>11642006.58</v>
      </c>
      <c r="F95" s="172">
        <f t="shared" si="18"/>
        <v>-0.008047496740033605</v>
      </c>
      <c r="G95" s="247">
        <f t="shared" si="19"/>
        <v>0.0888124106322248</v>
      </c>
      <c r="H95" s="248">
        <f t="shared" si="20"/>
        <v>0.9111875893677752</v>
      </c>
      <c r="I95" s="163"/>
    </row>
    <row r="96" spans="1:9" ht="15.75">
      <c r="A96" s="170"/>
      <c r="B96" s="171">
        <f>DATE(11,9,1)</f>
        <v>4262</v>
      </c>
      <c r="C96" s="232">
        <v>130858944.1</v>
      </c>
      <c r="D96" s="232">
        <v>11701086.4</v>
      </c>
      <c r="E96" s="232">
        <v>11237441.91</v>
      </c>
      <c r="F96" s="172">
        <f t="shared" si="18"/>
        <v>0.0412588998201994</v>
      </c>
      <c r="G96" s="247">
        <f t="shared" si="19"/>
        <v>0.08941755170405659</v>
      </c>
      <c r="H96" s="248">
        <f t="shared" si="20"/>
        <v>0.9105824482959434</v>
      </c>
      <c r="I96" s="163"/>
    </row>
    <row r="97" spans="1:9" ht="15.75">
      <c r="A97" s="170"/>
      <c r="B97" s="171">
        <f>DATE(11,10,1)</f>
        <v>4292</v>
      </c>
      <c r="C97" s="232">
        <v>126906335.21</v>
      </c>
      <c r="D97" s="232">
        <v>10984198.76</v>
      </c>
      <c r="E97" s="232">
        <v>11440861.01</v>
      </c>
      <c r="F97" s="172">
        <f t="shared" si="18"/>
        <v>-0.03991502471718254</v>
      </c>
      <c r="G97" s="247">
        <f t="shared" si="19"/>
        <v>0.08655358884821429</v>
      </c>
      <c r="H97" s="248">
        <f t="shared" si="20"/>
        <v>0.9134464111517857</v>
      </c>
      <c r="I97" s="163"/>
    </row>
    <row r="98" spans="1:9" ht="15.75">
      <c r="A98" s="170"/>
      <c r="B98" s="171">
        <f>DATE(11,11,1)</f>
        <v>4323</v>
      </c>
      <c r="C98" s="232">
        <v>115361054.09</v>
      </c>
      <c r="D98" s="232">
        <v>10443074.18</v>
      </c>
      <c r="E98" s="232">
        <v>10365219.93</v>
      </c>
      <c r="F98" s="172">
        <f t="shared" si="18"/>
        <v>0.00751110449423913</v>
      </c>
      <c r="G98" s="247">
        <f t="shared" si="19"/>
        <v>0.0905251279331475</v>
      </c>
      <c r="H98" s="248">
        <f t="shared" si="20"/>
        <v>0.9094748720668525</v>
      </c>
      <c r="I98" s="163"/>
    </row>
    <row r="99" spans="1:9" ht="15.75">
      <c r="A99" s="170"/>
      <c r="B99" s="171">
        <f>DATE(11,12,1)</f>
        <v>4353</v>
      </c>
      <c r="C99" s="232">
        <v>121058558.14</v>
      </c>
      <c r="D99" s="232">
        <v>10783922.21</v>
      </c>
      <c r="E99" s="232">
        <v>11180863.53</v>
      </c>
      <c r="F99" s="172">
        <f t="shared" si="18"/>
        <v>-0.035501848219052404</v>
      </c>
      <c r="G99" s="247">
        <f t="shared" si="19"/>
        <v>0.0890802135403659</v>
      </c>
      <c r="H99" s="248">
        <f t="shared" si="20"/>
        <v>0.9109197864596341</v>
      </c>
      <c r="I99" s="163"/>
    </row>
    <row r="100" spans="1:9" ht="15.75">
      <c r="A100" s="170"/>
      <c r="B100" s="171">
        <f>DATE(12,1,1)</f>
        <v>4384</v>
      </c>
      <c r="C100" s="232">
        <v>114154403.6</v>
      </c>
      <c r="D100" s="232">
        <v>10329309.79</v>
      </c>
      <c r="E100" s="232">
        <v>11336576.8</v>
      </c>
      <c r="F100" s="172">
        <f t="shared" si="18"/>
        <v>-0.08885107275063858</v>
      </c>
      <c r="G100" s="247">
        <f t="shared" si="19"/>
        <v>0.09048542556618464</v>
      </c>
      <c r="H100" s="248">
        <f t="shared" si="20"/>
        <v>0.9095145744338153</v>
      </c>
      <c r="I100" s="163"/>
    </row>
    <row r="101" spans="1:9" ht="15.75">
      <c r="A101" s="170"/>
      <c r="B101" s="171">
        <f>DATE(12,2,1)</f>
        <v>4415</v>
      </c>
      <c r="C101" s="232">
        <v>136943033.4</v>
      </c>
      <c r="D101" s="232">
        <v>12898255.18</v>
      </c>
      <c r="E101" s="232">
        <v>13290433.91</v>
      </c>
      <c r="F101" s="172">
        <f t="shared" si="18"/>
        <v>-0.029508346578881597</v>
      </c>
      <c r="G101" s="247">
        <f t="shared" si="19"/>
        <v>0.09418701236393087</v>
      </c>
      <c r="H101" s="248">
        <f t="shared" si="20"/>
        <v>0.9058129876360691</v>
      </c>
      <c r="I101" s="163"/>
    </row>
    <row r="102" spans="1:9" ht="15.75">
      <c r="A102" s="170"/>
      <c r="B102" s="171">
        <f>DATE(12,3,1)</f>
        <v>4444</v>
      </c>
      <c r="C102" s="232">
        <v>135982340.35</v>
      </c>
      <c r="D102" s="232">
        <v>12527810.01</v>
      </c>
      <c r="E102" s="232">
        <v>13163554.53</v>
      </c>
      <c r="F102" s="172">
        <f t="shared" si="18"/>
        <v>-0.04829580935385844</v>
      </c>
      <c r="G102" s="247">
        <f t="shared" si="19"/>
        <v>0.0921282129558524</v>
      </c>
      <c r="H102" s="248">
        <f t="shared" si="20"/>
        <v>0.9078717870441476</v>
      </c>
      <c r="I102" s="163"/>
    </row>
    <row r="103" spans="1:9" ht="15.75">
      <c r="A103" s="170"/>
      <c r="B103" s="171">
        <f>DATE(12,4,1)</f>
        <v>4475</v>
      </c>
      <c r="C103" s="232">
        <v>118412623.22</v>
      </c>
      <c r="D103" s="232">
        <v>10770962.21</v>
      </c>
      <c r="E103" s="232">
        <v>12517104.1</v>
      </c>
      <c r="F103" s="172">
        <f t="shared" si="18"/>
        <v>-0.13950046880252429</v>
      </c>
      <c r="G103" s="247">
        <f t="shared" si="19"/>
        <v>0.09096126677295648</v>
      </c>
      <c r="H103" s="248">
        <f t="shared" si="20"/>
        <v>0.9090387332270435</v>
      </c>
      <c r="I103" s="163"/>
    </row>
    <row r="104" spans="1:9" ht="15.75">
      <c r="A104" s="170"/>
      <c r="B104" s="171">
        <f>DATE(12,5,1)</f>
        <v>4505</v>
      </c>
      <c r="C104" s="232">
        <v>122574155.83</v>
      </c>
      <c r="D104" s="232">
        <v>11368504.22</v>
      </c>
      <c r="E104" s="232">
        <v>12307709.08</v>
      </c>
      <c r="F104" s="172">
        <f t="shared" si="18"/>
        <v>-0.07631029088315106</v>
      </c>
      <c r="G104" s="247">
        <f t="shared" si="19"/>
        <v>0.09274797075304485</v>
      </c>
      <c r="H104" s="248">
        <f t="shared" si="20"/>
        <v>0.9072520292469551</v>
      </c>
      <c r="I104" s="163"/>
    </row>
    <row r="105" spans="1:9" ht="15.75" thickBot="1">
      <c r="A105" s="173"/>
      <c r="B105" s="171"/>
      <c r="C105" s="232"/>
      <c r="D105" s="232"/>
      <c r="E105" s="232"/>
      <c r="F105" s="172"/>
      <c r="G105" s="247"/>
      <c r="H105" s="248"/>
      <c r="I105" s="163"/>
    </row>
    <row r="106" spans="1:9" ht="17.25" thickBot="1" thickTop="1">
      <c r="A106" s="180" t="s">
        <v>14</v>
      </c>
      <c r="B106" s="181"/>
      <c r="C106" s="234">
        <f>SUM(C94:C105)</f>
        <v>1390542314.8999999</v>
      </c>
      <c r="D106" s="236">
        <f>SUM(D94:D105)</f>
        <v>125642266.35</v>
      </c>
      <c r="E106" s="279">
        <f>SUM(E94:E105)</f>
        <v>130995989.33999999</v>
      </c>
      <c r="F106" s="182">
        <f>(+D106-E106)/E106</f>
        <v>-0.04086936567274904</v>
      </c>
      <c r="G106" s="255">
        <f>D106/C106</f>
        <v>0.09035486730875608</v>
      </c>
      <c r="H106" s="278">
        <f>1-G106</f>
        <v>0.9096451326912439</v>
      </c>
      <c r="I106" s="163"/>
    </row>
    <row r="107" spans="1:9" ht="15.75" thickTop="1">
      <c r="A107" s="173"/>
      <c r="B107" s="185"/>
      <c r="C107" s="235"/>
      <c r="D107" s="235"/>
      <c r="E107" s="235"/>
      <c r="F107" s="186"/>
      <c r="G107" s="253"/>
      <c r="H107" s="254"/>
      <c r="I107" s="163"/>
    </row>
    <row r="108" spans="1:9" ht="15.75">
      <c r="A108" s="170" t="s">
        <v>19</v>
      </c>
      <c r="B108" s="171">
        <f>DATE(11,7,1)</f>
        <v>4200</v>
      </c>
      <c r="C108" s="232">
        <v>207641701.35</v>
      </c>
      <c r="D108" s="232">
        <v>18805509.39</v>
      </c>
      <c r="E108" s="232">
        <v>19735116.83</v>
      </c>
      <c r="F108" s="172">
        <f aca="true" t="shared" si="21" ref="F108:F118">(+D108-E108)/E108</f>
        <v>-0.04710422785979513</v>
      </c>
      <c r="G108" s="247">
        <f aca="true" t="shared" si="22" ref="G108:G118">D108/C108</f>
        <v>0.09056711280891265</v>
      </c>
      <c r="H108" s="248">
        <f aca="true" t="shared" si="23" ref="H108:H118">1-G108</f>
        <v>0.9094328871910874</v>
      </c>
      <c r="I108" s="163"/>
    </row>
    <row r="109" spans="1:9" ht="15.75">
      <c r="A109" s="170"/>
      <c r="B109" s="171">
        <f>DATE(11,8,1)</f>
        <v>4231</v>
      </c>
      <c r="C109" s="232">
        <v>182449579.02</v>
      </c>
      <c r="D109" s="232">
        <v>16964842.74</v>
      </c>
      <c r="E109" s="232">
        <v>17526293.41</v>
      </c>
      <c r="F109" s="172">
        <f t="shared" si="21"/>
        <v>-0.032034763818324194</v>
      </c>
      <c r="G109" s="247">
        <f t="shared" si="22"/>
        <v>0.09298373189526693</v>
      </c>
      <c r="H109" s="248">
        <f t="shared" si="23"/>
        <v>0.9070162681047331</v>
      </c>
      <c r="I109" s="163"/>
    </row>
    <row r="110" spans="1:9" ht="15.75">
      <c r="A110" s="170"/>
      <c r="B110" s="171">
        <f>DATE(11,9,1)</f>
        <v>4262</v>
      </c>
      <c r="C110" s="232">
        <v>182905905.62</v>
      </c>
      <c r="D110" s="232">
        <v>17143789.59</v>
      </c>
      <c r="E110" s="232">
        <v>17032353.79</v>
      </c>
      <c r="F110" s="172">
        <f t="shared" si="21"/>
        <v>0.006542595425972581</v>
      </c>
      <c r="G110" s="247">
        <f t="shared" si="22"/>
        <v>0.09373010418601485</v>
      </c>
      <c r="H110" s="248">
        <f t="shared" si="23"/>
        <v>0.9062698958139852</v>
      </c>
      <c r="I110" s="163"/>
    </row>
    <row r="111" spans="1:9" ht="15.75">
      <c r="A111" s="170"/>
      <c r="B111" s="171">
        <f>DATE(11,10,1)</f>
        <v>4292</v>
      </c>
      <c r="C111" s="232">
        <v>183349249.23</v>
      </c>
      <c r="D111" s="232">
        <v>17374664.98</v>
      </c>
      <c r="E111" s="232">
        <v>17793518.03</v>
      </c>
      <c r="F111" s="172">
        <f t="shared" si="21"/>
        <v>-0.02353964231771432</v>
      </c>
      <c r="G111" s="247">
        <f t="shared" si="22"/>
        <v>0.09476267316592384</v>
      </c>
      <c r="H111" s="248">
        <f t="shared" si="23"/>
        <v>0.9052373268340762</v>
      </c>
      <c r="I111" s="163"/>
    </row>
    <row r="112" spans="1:9" ht="15.75">
      <c r="A112" s="170"/>
      <c r="B112" s="171">
        <f>DATE(11,11,1)</f>
        <v>4323</v>
      </c>
      <c r="C112" s="232">
        <v>176920677.61</v>
      </c>
      <c r="D112" s="232">
        <v>16417596.9</v>
      </c>
      <c r="E112" s="232">
        <v>16697979.52</v>
      </c>
      <c r="F112" s="172">
        <f t="shared" si="21"/>
        <v>-0.016791409982517404</v>
      </c>
      <c r="G112" s="247">
        <f t="shared" si="22"/>
        <v>0.09279637135570204</v>
      </c>
      <c r="H112" s="248">
        <f t="shared" si="23"/>
        <v>0.9072036286442979</v>
      </c>
      <c r="I112" s="163"/>
    </row>
    <row r="113" spans="1:9" ht="15.75">
      <c r="A113" s="170"/>
      <c r="B113" s="171">
        <f>DATE(11,12,1)</f>
        <v>4353</v>
      </c>
      <c r="C113" s="232">
        <v>196891876.15</v>
      </c>
      <c r="D113" s="232">
        <v>18119209.69</v>
      </c>
      <c r="E113" s="232">
        <v>18121614.54</v>
      </c>
      <c r="F113" s="172">
        <f t="shared" si="21"/>
        <v>-0.0001327061666988622</v>
      </c>
      <c r="G113" s="247">
        <f t="shared" si="22"/>
        <v>0.09202619246817513</v>
      </c>
      <c r="H113" s="248">
        <f t="shared" si="23"/>
        <v>0.9079738075318249</v>
      </c>
      <c r="I113" s="163"/>
    </row>
    <row r="114" spans="1:9" ht="15.75">
      <c r="A114" s="170"/>
      <c r="B114" s="171">
        <f>DATE(12,1,1)</f>
        <v>4384</v>
      </c>
      <c r="C114" s="232">
        <v>185089975.82</v>
      </c>
      <c r="D114" s="232">
        <v>16767038.12</v>
      </c>
      <c r="E114" s="232">
        <v>16644596.2</v>
      </c>
      <c r="F114" s="172">
        <f t="shared" si="21"/>
        <v>0.007356256560913141</v>
      </c>
      <c r="G114" s="247">
        <f t="shared" si="22"/>
        <v>0.09058858020655826</v>
      </c>
      <c r="H114" s="248">
        <f t="shared" si="23"/>
        <v>0.9094114197934418</v>
      </c>
      <c r="I114" s="163"/>
    </row>
    <row r="115" spans="1:9" ht="15.75">
      <c r="A115" s="170"/>
      <c r="B115" s="171">
        <f>DATE(12,2,1)</f>
        <v>4415</v>
      </c>
      <c r="C115" s="232">
        <v>184679516.12</v>
      </c>
      <c r="D115" s="232">
        <v>16991639.57</v>
      </c>
      <c r="E115" s="232">
        <v>17417775.95</v>
      </c>
      <c r="F115" s="172">
        <f t="shared" si="21"/>
        <v>-0.024465602337708274</v>
      </c>
      <c r="G115" s="247">
        <f t="shared" si="22"/>
        <v>0.09200608668997849</v>
      </c>
      <c r="H115" s="248">
        <f t="shared" si="23"/>
        <v>0.9079939133100215</v>
      </c>
      <c r="I115" s="163"/>
    </row>
    <row r="116" spans="1:9" ht="15.75">
      <c r="A116" s="170"/>
      <c r="B116" s="171">
        <f>DATE(12,3,1)</f>
        <v>4444</v>
      </c>
      <c r="C116" s="232">
        <v>194451144.66</v>
      </c>
      <c r="D116" s="232">
        <v>18091917.27</v>
      </c>
      <c r="E116" s="232">
        <v>19166875.83</v>
      </c>
      <c r="F116" s="172">
        <f t="shared" si="21"/>
        <v>-0.05608418239541539</v>
      </c>
      <c r="G116" s="247">
        <f t="shared" si="22"/>
        <v>0.09304093993189867</v>
      </c>
      <c r="H116" s="248">
        <f t="shared" si="23"/>
        <v>0.9069590600681013</v>
      </c>
      <c r="I116" s="163"/>
    </row>
    <row r="117" spans="1:9" ht="15.75">
      <c r="A117" s="170"/>
      <c r="B117" s="171">
        <f>DATE(12,4,1)</f>
        <v>4475</v>
      </c>
      <c r="C117" s="232">
        <v>177920135.51</v>
      </c>
      <c r="D117" s="232">
        <v>15944347.05</v>
      </c>
      <c r="E117" s="232">
        <v>18253565.11</v>
      </c>
      <c r="F117" s="172">
        <f t="shared" si="21"/>
        <v>-0.12650778333351007</v>
      </c>
      <c r="G117" s="247">
        <f t="shared" si="22"/>
        <v>0.08961519169427482</v>
      </c>
      <c r="H117" s="248">
        <f t="shared" si="23"/>
        <v>0.9103848083057252</v>
      </c>
      <c r="I117" s="163"/>
    </row>
    <row r="118" spans="1:9" ht="15.75">
      <c r="A118" s="170"/>
      <c r="B118" s="171">
        <f>DATE(12,5,1)</f>
        <v>4505</v>
      </c>
      <c r="C118" s="232">
        <v>174049318.55</v>
      </c>
      <c r="D118" s="232">
        <v>16244911.07</v>
      </c>
      <c r="E118" s="232">
        <v>18152481.26</v>
      </c>
      <c r="F118" s="172">
        <f t="shared" si="21"/>
        <v>-0.1050859198077476</v>
      </c>
      <c r="G118" s="247">
        <f t="shared" si="22"/>
        <v>0.09333510297733941</v>
      </c>
      <c r="H118" s="248">
        <f t="shared" si="23"/>
        <v>0.9066648970226606</v>
      </c>
      <c r="I118" s="163"/>
    </row>
    <row r="119" spans="1:9" ht="16.5" thickBot="1">
      <c r="A119" s="170"/>
      <c r="B119" s="171"/>
      <c r="C119" s="232"/>
      <c r="D119" s="232"/>
      <c r="E119" s="232"/>
      <c r="F119" s="172"/>
      <c r="G119" s="247"/>
      <c r="H119" s="248"/>
      <c r="I119" s="163"/>
    </row>
    <row r="120" spans="1:9" ht="17.25" thickBot="1" thickTop="1">
      <c r="A120" s="180" t="s">
        <v>14</v>
      </c>
      <c r="B120" s="187"/>
      <c r="C120" s="234">
        <f>SUM(C108:C119)</f>
        <v>2046349079.64</v>
      </c>
      <c r="D120" s="234">
        <f>SUM(D108:D119)</f>
        <v>188865466.37000003</v>
      </c>
      <c r="E120" s="234">
        <f>SUM(E108:E119)</f>
        <v>196542170.47000003</v>
      </c>
      <c r="F120" s="182">
        <f>(+D120-E120)/E120</f>
        <v>-0.03905881410407929</v>
      </c>
      <c r="G120" s="251">
        <f>D120/C120</f>
        <v>0.09229386532781876</v>
      </c>
      <c r="H120" s="252">
        <f>1-G120</f>
        <v>0.9077061346721812</v>
      </c>
      <c r="I120" s="163"/>
    </row>
    <row r="121" spans="1:9" ht="15.75" thickTop="1">
      <c r="A121" s="177"/>
      <c r="B121" s="178"/>
      <c r="C121" s="233"/>
      <c r="D121" s="233"/>
      <c r="E121" s="233"/>
      <c r="F121" s="179"/>
      <c r="G121" s="249"/>
      <c r="H121" s="250"/>
      <c r="I121" s="163"/>
    </row>
    <row r="122" spans="1:9" ht="15.75">
      <c r="A122" s="170" t="s">
        <v>63</v>
      </c>
      <c r="B122" s="171">
        <f>DATE(11,7,1)</f>
        <v>4200</v>
      </c>
      <c r="C122" s="232">
        <v>180791801.97</v>
      </c>
      <c r="D122" s="232">
        <v>15506181.14</v>
      </c>
      <c r="E122" s="232">
        <v>13265777.86</v>
      </c>
      <c r="F122" s="172">
        <f aca="true" t="shared" si="24" ref="F122:F132">(+D122-E122)/E122</f>
        <v>0.16888593368922894</v>
      </c>
      <c r="G122" s="247">
        <f aca="true" t="shared" si="25" ref="G122:G132">D122/C122</f>
        <v>0.08576816521012964</v>
      </c>
      <c r="H122" s="248">
        <f aca="true" t="shared" si="26" ref="H122:H132">1-G122</f>
        <v>0.9142318347898704</v>
      </c>
      <c r="I122" s="163"/>
    </row>
    <row r="123" spans="1:9" ht="15.75">
      <c r="A123" s="170"/>
      <c r="B123" s="171">
        <f>DATE(11,8,1)</f>
        <v>4231</v>
      </c>
      <c r="C123" s="232">
        <v>170669898.69</v>
      </c>
      <c r="D123" s="232">
        <v>14737130.21</v>
      </c>
      <c r="E123" s="232">
        <v>13085185.19</v>
      </c>
      <c r="F123" s="172">
        <f t="shared" si="24"/>
        <v>0.1262454444483106</v>
      </c>
      <c r="G123" s="247">
        <f t="shared" si="25"/>
        <v>0.08634873708320476</v>
      </c>
      <c r="H123" s="248">
        <f t="shared" si="26"/>
        <v>0.9136512629167952</v>
      </c>
      <c r="I123" s="163"/>
    </row>
    <row r="124" spans="1:9" ht="15.75">
      <c r="A124" s="170"/>
      <c r="B124" s="171">
        <f>DATE(11,9,1)</f>
        <v>4262</v>
      </c>
      <c r="C124" s="232">
        <v>169555843.48</v>
      </c>
      <c r="D124" s="232">
        <v>14529889.4</v>
      </c>
      <c r="E124" s="232">
        <v>12762164.73</v>
      </c>
      <c r="F124" s="172">
        <f t="shared" si="24"/>
        <v>0.13851291747117261</v>
      </c>
      <c r="G124" s="247">
        <f t="shared" si="25"/>
        <v>0.08569382866308514</v>
      </c>
      <c r="H124" s="248">
        <f t="shared" si="26"/>
        <v>0.9143061713369148</v>
      </c>
      <c r="I124" s="163"/>
    </row>
    <row r="125" spans="1:9" ht="15.75">
      <c r="A125" s="170"/>
      <c r="B125" s="171">
        <f>DATE(11,10,1)</f>
        <v>4292</v>
      </c>
      <c r="C125" s="232">
        <v>166541238.09</v>
      </c>
      <c r="D125" s="232">
        <v>14521857.41</v>
      </c>
      <c r="E125" s="232">
        <v>12779654.39</v>
      </c>
      <c r="F125" s="172">
        <f t="shared" si="24"/>
        <v>0.13632630170055793</v>
      </c>
      <c r="G125" s="247">
        <f t="shared" si="25"/>
        <v>0.08719676625768982</v>
      </c>
      <c r="H125" s="248">
        <f t="shared" si="26"/>
        <v>0.9128032337423102</v>
      </c>
      <c r="I125" s="163"/>
    </row>
    <row r="126" spans="1:9" ht="15.75">
      <c r="A126" s="170"/>
      <c r="B126" s="171">
        <f>DATE(11,11,1)</f>
        <v>4323</v>
      </c>
      <c r="C126" s="232">
        <v>163080529.85</v>
      </c>
      <c r="D126" s="232">
        <v>14333884.31</v>
      </c>
      <c r="E126" s="232">
        <v>11828953.56</v>
      </c>
      <c r="F126" s="172">
        <f t="shared" si="24"/>
        <v>0.21176266668849783</v>
      </c>
      <c r="G126" s="247">
        <f t="shared" si="25"/>
        <v>0.087894516428075</v>
      </c>
      <c r="H126" s="248">
        <f t="shared" si="26"/>
        <v>0.912105483571925</v>
      </c>
      <c r="I126" s="163"/>
    </row>
    <row r="127" spans="1:9" ht="15.75">
      <c r="A127" s="170"/>
      <c r="B127" s="171">
        <f>DATE(11,12,1)</f>
        <v>4353</v>
      </c>
      <c r="C127" s="232">
        <v>172004308.85</v>
      </c>
      <c r="D127" s="232">
        <v>15063108.56</v>
      </c>
      <c r="E127" s="232">
        <v>11794106.78</v>
      </c>
      <c r="F127" s="172">
        <f t="shared" si="24"/>
        <v>0.27717247613388163</v>
      </c>
      <c r="G127" s="247">
        <f t="shared" si="25"/>
        <v>0.08757401870168324</v>
      </c>
      <c r="H127" s="248">
        <f t="shared" si="26"/>
        <v>0.9124259812983168</v>
      </c>
      <c r="I127" s="163"/>
    </row>
    <row r="128" spans="1:9" ht="15.75">
      <c r="A128" s="170"/>
      <c r="B128" s="171">
        <f>DATE(12,1,1)</f>
        <v>4384</v>
      </c>
      <c r="C128" s="232">
        <v>160251005.05</v>
      </c>
      <c r="D128" s="232">
        <v>14123241.1</v>
      </c>
      <c r="E128" s="232">
        <v>12581179.06</v>
      </c>
      <c r="F128" s="172">
        <f t="shared" si="24"/>
        <v>0.12256896055972667</v>
      </c>
      <c r="G128" s="247">
        <f t="shared" si="25"/>
        <v>0.08813199702300399</v>
      </c>
      <c r="H128" s="248">
        <f t="shared" si="26"/>
        <v>0.911868002976996</v>
      </c>
      <c r="I128" s="163"/>
    </row>
    <row r="129" spans="1:9" ht="15.75">
      <c r="A129" s="170"/>
      <c r="B129" s="171">
        <f>DATE(12,2,1)</f>
        <v>4415</v>
      </c>
      <c r="C129" s="232">
        <v>176067674.59</v>
      </c>
      <c r="D129" s="232">
        <v>15940363.52</v>
      </c>
      <c r="E129" s="232">
        <v>13217266.2</v>
      </c>
      <c r="F129" s="172">
        <f t="shared" si="24"/>
        <v>0.20602576045566826</v>
      </c>
      <c r="G129" s="247">
        <f t="shared" si="25"/>
        <v>0.0905354350656333</v>
      </c>
      <c r="H129" s="248">
        <f t="shared" si="26"/>
        <v>0.9094645649343667</v>
      </c>
      <c r="I129" s="163"/>
    </row>
    <row r="130" spans="1:9" ht="15.75">
      <c r="A130" s="170"/>
      <c r="B130" s="171">
        <f>DATE(12,3,1)</f>
        <v>4444</v>
      </c>
      <c r="C130" s="232">
        <v>191570818.48</v>
      </c>
      <c r="D130" s="232">
        <v>17137689.55</v>
      </c>
      <c r="E130" s="232">
        <v>15394943.3</v>
      </c>
      <c r="F130" s="172">
        <f t="shared" si="24"/>
        <v>0.11320251176241747</v>
      </c>
      <c r="G130" s="247">
        <f t="shared" si="25"/>
        <v>0.08945876875182415</v>
      </c>
      <c r="H130" s="248">
        <f t="shared" si="26"/>
        <v>0.9105412312481759</v>
      </c>
      <c r="I130" s="163"/>
    </row>
    <row r="131" spans="1:9" ht="15.75">
      <c r="A131" s="170"/>
      <c r="B131" s="171">
        <f>DATE(12,4,1)</f>
        <v>4475</v>
      </c>
      <c r="C131" s="232">
        <v>174543494.81</v>
      </c>
      <c r="D131" s="232">
        <v>15444229.44</v>
      </c>
      <c r="E131" s="232">
        <v>14490904.16</v>
      </c>
      <c r="F131" s="172">
        <f t="shared" si="24"/>
        <v>0.0657878397009562</v>
      </c>
      <c r="G131" s="247">
        <f t="shared" si="25"/>
        <v>0.08848355796251173</v>
      </c>
      <c r="H131" s="248">
        <f t="shared" si="26"/>
        <v>0.9115164420374883</v>
      </c>
      <c r="I131" s="163"/>
    </row>
    <row r="132" spans="1:9" ht="15.75">
      <c r="A132" s="170"/>
      <c r="B132" s="171">
        <f>DATE(12,5,1)</f>
        <v>4505</v>
      </c>
      <c r="C132" s="232">
        <v>184659261.45</v>
      </c>
      <c r="D132" s="232">
        <v>16144419.23</v>
      </c>
      <c r="E132" s="232">
        <v>14706149.52</v>
      </c>
      <c r="F132" s="172">
        <f t="shared" si="24"/>
        <v>0.09780056350195472</v>
      </c>
      <c r="G132" s="247">
        <f t="shared" si="25"/>
        <v>0.08742815877865627</v>
      </c>
      <c r="H132" s="248">
        <f t="shared" si="26"/>
        <v>0.9125718412213437</v>
      </c>
      <c r="I132" s="163"/>
    </row>
    <row r="133" spans="1:9" ht="15.75" thickBot="1">
      <c r="A133" s="173"/>
      <c r="B133" s="174"/>
      <c r="C133" s="232"/>
      <c r="D133" s="232"/>
      <c r="E133" s="232"/>
      <c r="F133" s="172"/>
      <c r="G133" s="247"/>
      <c r="H133" s="248"/>
      <c r="I133" s="163"/>
    </row>
    <row r="134" spans="1:9" ht="17.25" thickBot="1" thickTop="1">
      <c r="A134" s="180" t="s">
        <v>14</v>
      </c>
      <c r="B134" s="181"/>
      <c r="C134" s="234">
        <f>SUM(C122:C133)</f>
        <v>1909735875.31</v>
      </c>
      <c r="D134" s="234">
        <f>SUM(D122:D133)</f>
        <v>167481993.86999997</v>
      </c>
      <c r="E134" s="234">
        <f>SUM(E122:E133)</f>
        <v>145906284.75</v>
      </c>
      <c r="F134" s="182">
        <f>(+D134-E134)/E134</f>
        <v>0.14787374757001326</v>
      </c>
      <c r="G134" s="255">
        <f>D134/C134</f>
        <v>0.08769903526204287</v>
      </c>
      <c r="H134" s="278">
        <f>1-G134</f>
        <v>0.9123009647379572</v>
      </c>
      <c r="I134" s="163"/>
    </row>
    <row r="135" spans="1:9" ht="15.75" thickTop="1">
      <c r="A135" s="173"/>
      <c r="B135" s="174"/>
      <c r="C135" s="232"/>
      <c r="D135" s="232"/>
      <c r="E135" s="232"/>
      <c r="F135" s="172"/>
      <c r="G135" s="247"/>
      <c r="H135" s="248"/>
      <c r="I135" s="163"/>
    </row>
    <row r="136" spans="1:9" ht="15.75">
      <c r="A136" s="170" t="s">
        <v>65</v>
      </c>
      <c r="B136" s="171">
        <f>DATE(11,7,1)</f>
        <v>4200</v>
      </c>
      <c r="C136" s="232">
        <v>34791818.74</v>
      </c>
      <c r="D136" s="232">
        <v>3233712.85</v>
      </c>
      <c r="E136" s="232">
        <v>3131475.86</v>
      </c>
      <c r="F136" s="172">
        <f aca="true" t="shared" si="27" ref="F136:F146">(+D136-E136)/E136</f>
        <v>0.03264818078463496</v>
      </c>
      <c r="G136" s="247">
        <f aca="true" t="shared" si="28" ref="G136:G146">D136/C136</f>
        <v>0.09294463374178868</v>
      </c>
      <c r="H136" s="248">
        <f aca="true" t="shared" si="29" ref="H136:H146">1-G136</f>
        <v>0.9070553662582113</v>
      </c>
      <c r="I136" s="163"/>
    </row>
    <row r="137" spans="1:9" ht="15.75">
      <c r="A137" s="170"/>
      <c r="B137" s="171">
        <f>DATE(11,8,1)</f>
        <v>4231</v>
      </c>
      <c r="C137" s="232">
        <v>31604865.07</v>
      </c>
      <c r="D137" s="232">
        <v>2839821.65</v>
      </c>
      <c r="E137" s="232">
        <v>2832869.58</v>
      </c>
      <c r="F137" s="172">
        <f t="shared" si="27"/>
        <v>0.0024540734416724657</v>
      </c>
      <c r="G137" s="247">
        <f t="shared" si="28"/>
        <v>0.08985394000924302</v>
      </c>
      <c r="H137" s="248">
        <f t="shared" si="29"/>
        <v>0.9101460599907569</v>
      </c>
      <c r="I137" s="163"/>
    </row>
    <row r="138" spans="1:9" ht="15.75">
      <c r="A138" s="170"/>
      <c r="B138" s="171">
        <f>DATE(11,9,1)</f>
        <v>4262</v>
      </c>
      <c r="C138" s="232">
        <v>31679031.03</v>
      </c>
      <c r="D138" s="232">
        <v>2911040.33</v>
      </c>
      <c r="E138" s="232">
        <v>2907032.41</v>
      </c>
      <c r="F138" s="172">
        <f t="shared" si="27"/>
        <v>0.0013786980792553068</v>
      </c>
      <c r="G138" s="247">
        <f t="shared" si="28"/>
        <v>0.09189170992140665</v>
      </c>
      <c r="H138" s="248">
        <f t="shared" si="29"/>
        <v>0.9081082900785934</v>
      </c>
      <c r="I138" s="163"/>
    </row>
    <row r="139" spans="1:9" ht="15.75">
      <c r="A139" s="170"/>
      <c r="B139" s="171">
        <f>DATE(11,10,1)</f>
        <v>4292</v>
      </c>
      <c r="C139" s="232">
        <v>31680972.41</v>
      </c>
      <c r="D139" s="232">
        <v>2896008.45</v>
      </c>
      <c r="E139" s="232">
        <v>3008309.61</v>
      </c>
      <c r="F139" s="172">
        <f t="shared" si="27"/>
        <v>-0.037330319866910135</v>
      </c>
      <c r="G139" s="247">
        <f t="shared" si="28"/>
        <v>0.09141160228673675</v>
      </c>
      <c r="H139" s="248">
        <f t="shared" si="29"/>
        <v>0.9085883977132633</v>
      </c>
      <c r="I139" s="163"/>
    </row>
    <row r="140" spans="1:9" ht="15.75">
      <c r="A140" s="170"/>
      <c r="B140" s="171">
        <f>DATE(11,11,1)</f>
        <v>4323</v>
      </c>
      <c r="C140" s="232">
        <v>30526129.13</v>
      </c>
      <c r="D140" s="232">
        <v>2768952.95</v>
      </c>
      <c r="E140" s="232">
        <v>2771023.95</v>
      </c>
      <c r="F140" s="172">
        <f t="shared" si="27"/>
        <v>-0.0007473771563757144</v>
      </c>
      <c r="G140" s="247">
        <f t="shared" si="28"/>
        <v>0.09070763404714721</v>
      </c>
      <c r="H140" s="248">
        <f t="shared" si="29"/>
        <v>0.9092923659528528</v>
      </c>
      <c r="I140" s="163"/>
    </row>
    <row r="141" spans="1:9" ht="15.75">
      <c r="A141" s="170"/>
      <c r="B141" s="171">
        <f>DATE(11,12,1)</f>
        <v>4353</v>
      </c>
      <c r="C141" s="232">
        <v>35222220.99</v>
      </c>
      <c r="D141" s="232">
        <v>3214592.37</v>
      </c>
      <c r="E141" s="232">
        <v>2886424.25</v>
      </c>
      <c r="F141" s="172">
        <f t="shared" si="27"/>
        <v>0.11369365400806902</v>
      </c>
      <c r="G141" s="247">
        <f t="shared" si="28"/>
        <v>0.09126603262504827</v>
      </c>
      <c r="H141" s="248">
        <f t="shared" si="29"/>
        <v>0.9087339673749517</v>
      </c>
      <c r="I141" s="163"/>
    </row>
    <row r="142" spans="1:9" ht="15.75">
      <c r="A142" s="170"/>
      <c r="B142" s="171">
        <f>DATE(12,1,1)</f>
        <v>4384</v>
      </c>
      <c r="C142" s="232">
        <v>31751545.87</v>
      </c>
      <c r="D142" s="232">
        <v>2841675.83</v>
      </c>
      <c r="E142" s="232">
        <v>2694185.75</v>
      </c>
      <c r="F142" s="172">
        <f t="shared" si="27"/>
        <v>0.05474384236498915</v>
      </c>
      <c r="G142" s="247">
        <f t="shared" si="28"/>
        <v>0.0894972434298047</v>
      </c>
      <c r="H142" s="248">
        <f t="shared" si="29"/>
        <v>0.9105027565701953</v>
      </c>
      <c r="I142" s="163"/>
    </row>
    <row r="143" spans="1:9" ht="15.75">
      <c r="A143" s="170"/>
      <c r="B143" s="171">
        <f>DATE(12,2,1)</f>
        <v>4415</v>
      </c>
      <c r="C143" s="232">
        <v>36731062.81</v>
      </c>
      <c r="D143" s="232">
        <v>3369381.09</v>
      </c>
      <c r="E143" s="232">
        <v>2937252.91</v>
      </c>
      <c r="F143" s="172">
        <f t="shared" si="27"/>
        <v>0.14711984062686645</v>
      </c>
      <c r="G143" s="247">
        <f t="shared" si="28"/>
        <v>0.09173110801146458</v>
      </c>
      <c r="H143" s="248">
        <f t="shared" si="29"/>
        <v>0.9082688919885354</v>
      </c>
      <c r="I143" s="163"/>
    </row>
    <row r="144" spans="1:9" ht="15.75">
      <c r="A144" s="170"/>
      <c r="B144" s="171">
        <f>DATE(12,3,1)</f>
        <v>4444</v>
      </c>
      <c r="C144" s="232">
        <v>37085892.44</v>
      </c>
      <c r="D144" s="232">
        <v>3387512.68</v>
      </c>
      <c r="E144" s="232">
        <v>3375751.57</v>
      </c>
      <c r="F144" s="172">
        <f t="shared" si="27"/>
        <v>0.003483997490964756</v>
      </c>
      <c r="G144" s="247">
        <f t="shared" si="28"/>
        <v>0.0913423530384375</v>
      </c>
      <c r="H144" s="248">
        <f t="shared" si="29"/>
        <v>0.9086576469615625</v>
      </c>
      <c r="I144" s="163"/>
    </row>
    <row r="145" spans="1:9" ht="15.75">
      <c r="A145" s="170"/>
      <c r="B145" s="171">
        <f>DATE(12,4,1)</f>
        <v>4475</v>
      </c>
      <c r="C145" s="232">
        <v>34310571.17</v>
      </c>
      <c r="D145" s="232">
        <v>3127168.97</v>
      </c>
      <c r="E145" s="232">
        <v>3122866.64</v>
      </c>
      <c r="F145" s="172">
        <f t="shared" si="27"/>
        <v>0.0013776861121421677</v>
      </c>
      <c r="G145" s="247">
        <f t="shared" si="28"/>
        <v>0.09114301695840873</v>
      </c>
      <c r="H145" s="248">
        <f t="shared" si="29"/>
        <v>0.9088569830415912</v>
      </c>
      <c r="I145" s="163"/>
    </row>
    <row r="146" spans="1:9" ht="15.75">
      <c r="A146" s="170"/>
      <c r="B146" s="171">
        <f>DATE(12,5,1)</f>
        <v>4505</v>
      </c>
      <c r="C146" s="232">
        <v>34091385.27</v>
      </c>
      <c r="D146" s="232">
        <v>3143166.21</v>
      </c>
      <c r="E146" s="232">
        <v>3009131.28</v>
      </c>
      <c r="F146" s="172">
        <f t="shared" si="27"/>
        <v>0.044542732612184395</v>
      </c>
      <c r="G146" s="247">
        <f t="shared" si="28"/>
        <v>0.0921982543421592</v>
      </c>
      <c r="H146" s="248">
        <f t="shared" si="29"/>
        <v>0.9078017456578408</v>
      </c>
      <c r="I146" s="163"/>
    </row>
    <row r="147" spans="1:9" ht="15.75" thickBot="1">
      <c r="A147" s="173"/>
      <c r="B147" s="174"/>
      <c r="C147" s="232"/>
      <c r="D147" s="232"/>
      <c r="E147" s="232"/>
      <c r="F147" s="172"/>
      <c r="G147" s="247"/>
      <c r="H147" s="248"/>
      <c r="I147" s="163"/>
    </row>
    <row r="148" spans="1:9" ht="17.25" thickBot="1" thickTop="1">
      <c r="A148" s="188" t="s">
        <v>14</v>
      </c>
      <c r="B148" s="189"/>
      <c r="C148" s="236">
        <f>SUM(C136:C147)</f>
        <v>369475494.93</v>
      </c>
      <c r="D148" s="236">
        <f>SUM(D136:D147)</f>
        <v>33733033.379999995</v>
      </c>
      <c r="E148" s="236">
        <f>SUM(E136:E147)</f>
        <v>32676323.810000002</v>
      </c>
      <c r="F148" s="182">
        <f>(+D148-E148)/E148</f>
        <v>0.032338691957649345</v>
      </c>
      <c r="G148" s="255">
        <f>D148/C148</f>
        <v>0.09129978535218142</v>
      </c>
      <c r="H148" s="252">
        <f>1-G148</f>
        <v>0.9087002146478186</v>
      </c>
      <c r="I148" s="163"/>
    </row>
    <row r="149" spans="1:9" ht="15.75" thickTop="1">
      <c r="A149" s="173"/>
      <c r="B149" s="174"/>
      <c r="C149" s="232"/>
      <c r="D149" s="232"/>
      <c r="E149" s="232"/>
      <c r="F149" s="172"/>
      <c r="G149" s="247"/>
      <c r="H149" s="248"/>
      <c r="I149" s="163"/>
    </row>
    <row r="150" spans="1:9" ht="15.75">
      <c r="A150" s="170" t="s">
        <v>43</v>
      </c>
      <c r="B150" s="171">
        <f>DATE(11,7,1)</f>
        <v>4200</v>
      </c>
      <c r="C150" s="232">
        <v>239624510</v>
      </c>
      <c r="D150" s="232">
        <v>21938101.88</v>
      </c>
      <c r="E150" s="232">
        <v>22643931.84</v>
      </c>
      <c r="F150" s="172">
        <f aca="true" t="shared" si="30" ref="F150:F160">(+D150-E150)/E150</f>
        <v>-0.031170821612930666</v>
      </c>
      <c r="G150" s="247">
        <f aca="true" t="shared" si="31" ref="G150:G160">D150/C150</f>
        <v>0.09155199474377641</v>
      </c>
      <c r="H150" s="248">
        <f aca="true" t="shared" si="32" ref="H150:H160">1-G150</f>
        <v>0.9084480052562236</v>
      </c>
      <c r="I150" s="163"/>
    </row>
    <row r="151" spans="1:9" ht="15.75">
      <c r="A151" s="170"/>
      <c r="B151" s="171">
        <f>DATE(11,8,1)</f>
        <v>4231</v>
      </c>
      <c r="C151" s="232">
        <v>223536251.88</v>
      </c>
      <c r="D151" s="232">
        <v>20831707.22</v>
      </c>
      <c r="E151" s="232">
        <v>20850456.42</v>
      </c>
      <c r="F151" s="172">
        <f t="shared" si="30"/>
        <v>-0.000899222521671925</v>
      </c>
      <c r="G151" s="247">
        <f t="shared" si="31"/>
        <v>0.09319162795653832</v>
      </c>
      <c r="H151" s="248">
        <f t="shared" si="32"/>
        <v>0.9068083720434617</v>
      </c>
      <c r="I151" s="163"/>
    </row>
    <row r="152" spans="1:9" ht="15.75">
      <c r="A152" s="170"/>
      <c r="B152" s="171">
        <f>DATE(11,9,1)</f>
        <v>4262</v>
      </c>
      <c r="C152" s="232">
        <v>217837013.13</v>
      </c>
      <c r="D152" s="232">
        <v>20279224.57</v>
      </c>
      <c r="E152" s="232">
        <v>19669175.04</v>
      </c>
      <c r="F152" s="172">
        <f t="shared" si="30"/>
        <v>0.03101551177206877</v>
      </c>
      <c r="G152" s="247">
        <f t="shared" si="31"/>
        <v>0.09309356696833626</v>
      </c>
      <c r="H152" s="248">
        <f t="shared" si="32"/>
        <v>0.9069064330316637</v>
      </c>
      <c r="I152" s="163"/>
    </row>
    <row r="153" spans="1:9" ht="15.75">
      <c r="A153" s="170"/>
      <c r="B153" s="171">
        <f>DATE(11,10,1)</f>
        <v>4292</v>
      </c>
      <c r="C153" s="232">
        <v>211774655.23</v>
      </c>
      <c r="D153" s="232">
        <v>19929857.06</v>
      </c>
      <c r="E153" s="232">
        <v>21043048.22</v>
      </c>
      <c r="F153" s="172">
        <f t="shared" si="30"/>
        <v>-0.05290066098608219</v>
      </c>
      <c r="G153" s="247">
        <f t="shared" si="31"/>
        <v>0.0941087923781766</v>
      </c>
      <c r="H153" s="248">
        <f t="shared" si="32"/>
        <v>0.9058912076218234</v>
      </c>
      <c r="I153" s="163"/>
    </row>
    <row r="154" spans="1:9" ht="15.75">
      <c r="A154" s="170"/>
      <c r="B154" s="171">
        <f>DATE(11,11,1)</f>
        <v>4323</v>
      </c>
      <c r="C154" s="232">
        <v>215551750.87</v>
      </c>
      <c r="D154" s="232">
        <v>19431117.33</v>
      </c>
      <c r="E154" s="232">
        <v>20457888.67</v>
      </c>
      <c r="F154" s="172">
        <f t="shared" si="30"/>
        <v>-0.05018950667698611</v>
      </c>
      <c r="G154" s="247">
        <f t="shared" si="31"/>
        <v>0.09014594987780439</v>
      </c>
      <c r="H154" s="248">
        <f t="shared" si="32"/>
        <v>0.9098540501221957</v>
      </c>
      <c r="I154" s="163"/>
    </row>
    <row r="155" spans="1:9" ht="15.75">
      <c r="A155" s="170"/>
      <c r="B155" s="171">
        <f>DATE(11,12,1)</f>
        <v>4353</v>
      </c>
      <c r="C155" s="232">
        <v>230321669.67</v>
      </c>
      <c r="D155" s="232">
        <v>21288064.45</v>
      </c>
      <c r="E155" s="232">
        <v>20733331.69</v>
      </c>
      <c r="F155" s="172">
        <f t="shared" si="30"/>
        <v>0.0267556014775741</v>
      </c>
      <c r="G155" s="247">
        <f t="shared" si="31"/>
        <v>0.09242753615194388</v>
      </c>
      <c r="H155" s="248">
        <f t="shared" si="32"/>
        <v>0.9075724638480561</v>
      </c>
      <c r="I155" s="163"/>
    </row>
    <row r="156" spans="1:9" ht="15.75">
      <c r="A156" s="170"/>
      <c r="B156" s="171">
        <f>DATE(12,1,1)</f>
        <v>4384</v>
      </c>
      <c r="C156" s="232">
        <v>211131968.24</v>
      </c>
      <c r="D156" s="232">
        <v>19423296.42</v>
      </c>
      <c r="E156" s="232">
        <v>20470826.51</v>
      </c>
      <c r="F156" s="172">
        <f t="shared" si="30"/>
        <v>-0.05117185129229058</v>
      </c>
      <c r="G156" s="247">
        <f t="shared" si="31"/>
        <v>0.09199599938329074</v>
      </c>
      <c r="H156" s="248">
        <f t="shared" si="32"/>
        <v>0.9080040006167093</v>
      </c>
      <c r="I156" s="163"/>
    </row>
    <row r="157" spans="1:9" ht="15.75">
      <c r="A157" s="170"/>
      <c r="B157" s="171">
        <f>DATE(12,2,1)</f>
        <v>4415</v>
      </c>
      <c r="C157" s="232">
        <v>226271820.96</v>
      </c>
      <c r="D157" s="232">
        <v>21321818.99</v>
      </c>
      <c r="E157" s="232">
        <v>20599292.35</v>
      </c>
      <c r="F157" s="172">
        <f t="shared" si="30"/>
        <v>0.03507531364299497</v>
      </c>
      <c r="G157" s="247">
        <f t="shared" si="31"/>
        <v>0.09423099570922372</v>
      </c>
      <c r="H157" s="248">
        <f t="shared" si="32"/>
        <v>0.9057690042907762</v>
      </c>
      <c r="I157" s="163"/>
    </row>
    <row r="158" spans="1:9" ht="15.75">
      <c r="A158" s="170"/>
      <c r="B158" s="171">
        <f>DATE(12,3,1)</f>
        <v>4444</v>
      </c>
      <c r="C158" s="232">
        <v>238590793.24</v>
      </c>
      <c r="D158" s="232">
        <v>22313668.05</v>
      </c>
      <c r="E158" s="232">
        <v>22332770.67</v>
      </c>
      <c r="F158" s="172">
        <f t="shared" si="30"/>
        <v>-0.0008553627439367353</v>
      </c>
      <c r="G158" s="247">
        <f t="shared" si="31"/>
        <v>0.09352275394614468</v>
      </c>
      <c r="H158" s="248">
        <f t="shared" si="32"/>
        <v>0.9064772460538553</v>
      </c>
      <c r="I158" s="163"/>
    </row>
    <row r="159" spans="1:9" ht="15.75">
      <c r="A159" s="170"/>
      <c r="B159" s="171">
        <f>DATE(12,4,1)</f>
        <v>4475</v>
      </c>
      <c r="C159" s="232">
        <v>217665014.31</v>
      </c>
      <c r="D159" s="232">
        <v>20250802.51</v>
      </c>
      <c r="E159" s="232">
        <v>21777101.51</v>
      </c>
      <c r="F159" s="172">
        <f t="shared" si="30"/>
        <v>-0.07008733459313336</v>
      </c>
      <c r="G159" s="247">
        <f t="shared" si="31"/>
        <v>0.09303655240230141</v>
      </c>
      <c r="H159" s="248">
        <f t="shared" si="32"/>
        <v>0.9069634475976986</v>
      </c>
      <c r="I159" s="163"/>
    </row>
    <row r="160" spans="1:9" ht="15.75">
      <c r="A160" s="170"/>
      <c r="B160" s="171">
        <f>DATE(12,5,1)</f>
        <v>4505</v>
      </c>
      <c r="C160" s="232">
        <v>220503157.3</v>
      </c>
      <c r="D160" s="232">
        <v>20707294.32</v>
      </c>
      <c r="E160" s="232">
        <v>21315440.44</v>
      </c>
      <c r="F160" s="172">
        <f t="shared" si="30"/>
        <v>-0.02853077897742004</v>
      </c>
      <c r="G160" s="247">
        <f t="shared" si="31"/>
        <v>0.09390928716647451</v>
      </c>
      <c r="H160" s="248">
        <f t="shared" si="32"/>
        <v>0.9060907128335255</v>
      </c>
      <c r="I160" s="163"/>
    </row>
    <row r="161" spans="1:9" ht="15.75" thickBot="1">
      <c r="A161" s="173"/>
      <c r="B161" s="174"/>
      <c r="C161" s="232"/>
      <c r="D161" s="232"/>
      <c r="E161" s="232"/>
      <c r="F161" s="172"/>
      <c r="G161" s="247"/>
      <c r="H161" s="248"/>
      <c r="I161" s="163"/>
    </row>
    <row r="162" spans="1:9" ht="17.25" thickBot="1" thickTop="1">
      <c r="A162" s="180" t="s">
        <v>14</v>
      </c>
      <c r="B162" s="181"/>
      <c r="C162" s="234">
        <f>SUM(C150:C161)</f>
        <v>2452808604.8300004</v>
      </c>
      <c r="D162" s="234">
        <f>SUM(D150:D161)</f>
        <v>227714952.8</v>
      </c>
      <c r="E162" s="234">
        <f>SUM(E150:E161)</f>
        <v>231893263.36</v>
      </c>
      <c r="F162" s="182">
        <f>(+D162-E162)/E162</f>
        <v>-0.018018248997226937</v>
      </c>
      <c r="G162" s="251">
        <f>D162/C162</f>
        <v>0.09283845154146567</v>
      </c>
      <c r="H162" s="252">
        <f>1-G162</f>
        <v>0.9071615484585344</v>
      </c>
      <c r="I162" s="163"/>
    </row>
    <row r="163" spans="1:9" ht="15.75" thickTop="1">
      <c r="A163" s="173"/>
      <c r="B163" s="174"/>
      <c r="C163" s="232"/>
      <c r="D163" s="232"/>
      <c r="E163" s="232"/>
      <c r="F163" s="172"/>
      <c r="G163" s="247"/>
      <c r="H163" s="248"/>
      <c r="I163" s="163"/>
    </row>
    <row r="164" spans="1:9" ht="15.75">
      <c r="A164" s="170" t="s">
        <v>66</v>
      </c>
      <c r="B164" s="171">
        <f>DATE(11,7,1)</f>
        <v>4200</v>
      </c>
      <c r="C164" s="232">
        <v>0</v>
      </c>
      <c r="D164" s="232">
        <v>0</v>
      </c>
      <c r="E164" s="232">
        <v>3268643.48</v>
      </c>
      <c r="F164" s="172">
        <f aca="true" t="shared" si="33" ref="F164:F174">(+D164-E164)/E164</f>
        <v>-1</v>
      </c>
      <c r="G164" s="247">
        <v>0</v>
      </c>
      <c r="H164" s="248">
        <v>0</v>
      </c>
      <c r="I164" s="163"/>
    </row>
    <row r="165" spans="1:9" ht="15.75">
      <c r="A165" s="170"/>
      <c r="B165" s="171">
        <f>DATE(11,8,1)</f>
        <v>4231</v>
      </c>
      <c r="C165" s="232">
        <v>0</v>
      </c>
      <c r="D165" s="232">
        <v>0</v>
      </c>
      <c r="E165" s="232">
        <v>3051908.1</v>
      </c>
      <c r="F165" s="172">
        <f t="shared" si="33"/>
        <v>-1</v>
      </c>
      <c r="G165" s="247">
        <v>0</v>
      </c>
      <c r="H165" s="248">
        <v>0</v>
      </c>
      <c r="I165" s="163"/>
    </row>
    <row r="166" spans="1:9" ht="15.75">
      <c r="A166" s="170"/>
      <c r="B166" s="171">
        <f>DATE(11,9,1)</f>
        <v>4262</v>
      </c>
      <c r="C166" s="232">
        <v>3691783.8</v>
      </c>
      <c r="D166" s="232">
        <v>339032.27</v>
      </c>
      <c r="E166" s="232">
        <v>3070072.35</v>
      </c>
      <c r="F166" s="172">
        <f t="shared" si="33"/>
        <v>-0.889568638341699</v>
      </c>
      <c r="G166" s="247">
        <f aca="true" t="shared" si="34" ref="G166:G174">D166/C166</f>
        <v>0.0918342699266409</v>
      </c>
      <c r="H166" s="248">
        <f aca="true" t="shared" si="35" ref="H166:H174">1-G166</f>
        <v>0.9081657300733591</v>
      </c>
      <c r="I166" s="163"/>
    </row>
    <row r="167" spans="1:9" ht="15.75">
      <c r="A167" s="170"/>
      <c r="B167" s="171">
        <f>DATE(11,10,1)</f>
        <v>4292</v>
      </c>
      <c r="C167" s="232">
        <v>38084543.29</v>
      </c>
      <c r="D167" s="232">
        <v>3359957.21</v>
      </c>
      <c r="E167" s="232">
        <v>3109740.11</v>
      </c>
      <c r="F167" s="172">
        <f t="shared" si="33"/>
        <v>0.08046238307676461</v>
      </c>
      <c r="G167" s="247">
        <f t="shared" si="34"/>
        <v>0.08822364454826577</v>
      </c>
      <c r="H167" s="248">
        <f t="shared" si="35"/>
        <v>0.9117763554517342</v>
      </c>
      <c r="I167" s="163"/>
    </row>
    <row r="168" spans="1:9" ht="15.75">
      <c r="A168" s="170"/>
      <c r="B168" s="171">
        <f>DATE(11,11,1)</f>
        <v>4323</v>
      </c>
      <c r="C168" s="232">
        <v>34785446</v>
      </c>
      <c r="D168" s="232">
        <v>3059858.87</v>
      </c>
      <c r="E168" s="232">
        <v>2895096.26</v>
      </c>
      <c r="F168" s="172">
        <f t="shared" si="33"/>
        <v>0.05691092633997612</v>
      </c>
      <c r="G168" s="247">
        <f t="shared" si="34"/>
        <v>0.08796376708810921</v>
      </c>
      <c r="H168" s="248">
        <f t="shared" si="35"/>
        <v>0.9120362329118907</v>
      </c>
      <c r="I168" s="163"/>
    </row>
    <row r="169" spans="1:9" ht="15.75">
      <c r="A169" s="170"/>
      <c r="B169" s="171">
        <f>DATE(11,12,1)</f>
        <v>4353</v>
      </c>
      <c r="C169" s="232">
        <v>36476383.77</v>
      </c>
      <c r="D169" s="232">
        <v>3209546.49</v>
      </c>
      <c r="E169" s="232">
        <v>3143150.5</v>
      </c>
      <c r="F169" s="172">
        <f t="shared" si="33"/>
        <v>0.021124025082477033</v>
      </c>
      <c r="G169" s="247">
        <f t="shared" si="34"/>
        <v>0.08798971165117775</v>
      </c>
      <c r="H169" s="248">
        <f t="shared" si="35"/>
        <v>0.9120102883488223</v>
      </c>
      <c r="I169" s="163"/>
    </row>
    <row r="170" spans="1:9" ht="15.75">
      <c r="A170" s="170"/>
      <c r="B170" s="171">
        <f>DATE(12,1,1)</f>
        <v>4384</v>
      </c>
      <c r="C170" s="232">
        <v>34386327.94</v>
      </c>
      <c r="D170" s="232">
        <v>3077110.03</v>
      </c>
      <c r="E170" s="232">
        <v>2798189.51</v>
      </c>
      <c r="F170" s="172">
        <f t="shared" si="33"/>
        <v>0.09967892417694041</v>
      </c>
      <c r="G170" s="247">
        <f t="shared" si="34"/>
        <v>0.08948643877791157</v>
      </c>
      <c r="H170" s="248">
        <f t="shared" si="35"/>
        <v>0.9105135612220885</v>
      </c>
      <c r="I170" s="163"/>
    </row>
    <row r="171" spans="1:9" ht="15.75">
      <c r="A171" s="170"/>
      <c r="B171" s="171">
        <f>DATE(12,2,1)</f>
        <v>4415</v>
      </c>
      <c r="C171" s="232">
        <v>39299997.49</v>
      </c>
      <c r="D171" s="232">
        <v>3543921.09</v>
      </c>
      <c r="E171" s="232">
        <v>3163683.71</v>
      </c>
      <c r="F171" s="172">
        <f t="shared" si="33"/>
        <v>0.1201881777239988</v>
      </c>
      <c r="G171" s="247">
        <f t="shared" si="34"/>
        <v>0.09017611491964499</v>
      </c>
      <c r="H171" s="248">
        <f t="shared" si="35"/>
        <v>0.909823885080355</v>
      </c>
      <c r="I171" s="163"/>
    </row>
    <row r="172" spans="1:9" ht="15.75">
      <c r="A172" s="170"/>
      <c r="B172" s="171">
        <f>DATE(12,3,1)</f>
        <v>4444</v>
      </c>
      <c r="C172" s="232">
        <v>37952501.4</v>
      </c>
      <c r="D172" s="232">
        <v>3416213.84</v>
      </c>
      <c r="E172" s="232">
        <v>3472446.5</v>
      </c>
      <c r="F172" s="172">
        <f t="shared" si="33"/>
        <v>-0.016193960079730573</v>
      </c>
      <c r="G172" s="247">
        <f t="shared" si="34"/>
        <v>0.09001287699050055</v>
      </c>
      <c r="H172" s="248">
        <f t="shared" si="35"/>
        <v>0.9099871230094995</v>
      </c>
      <c r="I172" s="163"/>
    </row>
    <row r="173" spans="1:9" ht="15.75">
      <c r="A173" s="170"/>
      <c r="B173" s="171">
        <f>DATE(12,4,1)</f>
        <v>4475</v>
      </c>
      <c r="C173" s="232">
        <v>35135714.06</v>
      </c>
      <c r="D173" s="232">
        <v>3171087.97</v>
      </c>
      <c r="E173" s="232">
        <v>3307654.19</v>
      </c>
      <c r="F173" s="172">
        <f t="shared" si="33"/>
        <v>-0.04128793766073827</v>
      </c>
      <c r="G173" s="247">
        <f t="shared" si="34"/>
        <v>0.09025255512339515</v>
      </c>
      <c r="H173" s="248">
        <f t="shared" si="35"/>
        <v>0.9097474448766049</v>
      </c>
      <c r="I173" s="163"/>
    </row>
    <row r="174" spans="1:9" ht="15.75">
      <c r="A174" s="170"/>
      <c r="B174" s="171">
        <f>DATE(12,5,1)</f>
        <v>4505</v>
      </c>
      <c r="C174" s="232">
        <v>35095484.06</v>
      </c>
      <c r="D174" s="232">
        <v>3037314.26</v>
      </c>
      <c r="E174" s="232">
        <v>3176658.72</v>
      </c>
      <c r="F174" s="172">
        <f t="shared" si="33"/>
        <v>-0.04386510238657315</v>
      </c>
      <c r="G174" s="247">
        <f t="shared" si="34"/>
        <v>0.0865443045266833</v>
      </c>
      <c r="H174" s="248">
        <f t="shared" si="35"/>
        <v>0.9134556954733167</v>
      </c>
      <c r="I174" s="163"/>
    </row>
    <row r="175" spans="1:9" ht="15.75" thickBot="1">
      <c r="A175" s="173"/>
      <c r="B175" s="174"/>
      <c r="C175" s="232"/>
      <c r="D175" s="232"/>
      <c r="E175" s="232"/>
      <c r="F175" s="172"/>
      <c r="G175" s="247"/>
      <c r="H175" s="248"/>
      <c r="I175" s="163"/>
    </row>
    <row r="176" spans="1:9" ht="17.25" thickBot="1" thickTop="1">
      <c r="A176" s="175" t="s">
        <v>14</v>
      </c>
      <c r="B176" s="161"/>
      <c r="C176" s="229">
        <f>SUM(C164:C175)</f>
        <v>294908181.81000006</v>
      </c>
      <c r="D176" s="229">
        <f>SUM(D164:D175)</f>
        <v>26214042.029999994</v>
      </c>
      <c r="E176" s="229">
        <f>SUM(E164:E175)</f>
        <v>34457243.43</v>
      </c>
      <c r="F176" s="176">
        <f>(+D176-E176)/E176</f>
        <v>-0.23922985646678604</v>
      </c>
      <c r="G176" s="251">
        <f>D176/C176</f>
        <v>0.08888882590205267</v>
      </c>
      <c r="H176" s="252">
        <f>1-G176</f>
        <v>0.9111111740979473</v>
      </c>
      <c r="I176" s="163"/>
    </row>
    <row r="177" spans="1:9" ht="16.5" thickBot="1" thickTop="1">
      <c r="A177" s="177"/>
      <c r="B177" s="178"/>
      <c r="C177" s="233"/>
      <c r="D177" s="233"/>
      <c r="E177" s="233"/>
      <c r="F177" s="179"/>
      <c r="G177" s="249"/>
      <c r="H177" s="250"/>
      <c r="I177" s="163"/>
    </row>
    <row r="178" spans="1:9" ht="17.25" thickBot="1" thickTop="1">
      <c r="A178" s="190" t="s">
        <v>44</v>
      </c>
      <c r="B178" s="161"/>
      <c r="C178" s="229">
        <f>C176+C162+C120+C92+C78+C50+C22+C64+C148+C36+C106+C134</f>
        <v>15828755105.88</v>
      </c>
      <c r="D178" s="229">
        <f>D176+D162+D120+D92+D78+D50+D22+D64+D148+D36+D106+D134</f>
        <v>1459899219.6899998</v>
      </c>
      <c r="E178" s="229">
        <f>E176+E162+E120+E92+E78+E50+E22+E64+E148+E36+E106+E134</f>
        <v>1470155242.16</v>
      </c>
      <c r="F178" s="176">
        <f>(+D178-E178)/E178</f>
        <v>-0.006976149304431132</v>
      </c>
      <c r="G178" s="242">
        <f>D178/C178</f>
        <v>0.09223082989942037</v>
      </c>
      <c r="H178" s="243">
        <f>1-G178</f>
        <v>0.9077691701005797</v>
      </c>
      <c r="I178" s="163"/>
    </row>
    <row r="179" spans="1:9" ht="17.25" thickBot="1" thickTop="1">
      <c r="A179" s="190"/>
      <c r="B179" s="161"/>
      <c r="C179" s="229"/>
      <c r="D179" s="229"/>
      <c r="E179" s="229"/>
      <c r="F179" s="176"/>
      <c r="G179" s="242"/>
      <c r="H179" s="243"/>
      <c r="I179" s="163"/>
    </row>
    <row r="180" spans="1:9" ht="17.25" thickBot="1" thickTop="1">
      <c r="A180" s="190" t="s">
        <v>45</v>
      </c>
      <c r="B180" s="161"/>
      <c r="C180" s="229">
        <f>+C20+C34+C48+C62+C76+C90+C104+C118+C132+C146+C160+C174</f>
        <v>1414757957.12</v>
      </c>
      <c r="D180" s="229">
        <f>+D20+D34+D48+D62+D76+D90+D104+D118+D132+D146+D160+D174</f>
        <v>130958947.86</v>
      </c>
      <c r="E180" s="229">
        <f>+E20+E34+E48+E62+E76+E90+E104+E118+E132+E146+E160+E174</f>
        <v>137686641.74</v>
      </c>
      <c r="F180" s="176">
        <f>(+D180-E180)/E180</f>
        <v>-0.04886235726995378</v>
      </c>
      <c r="G180" s="242">
        <f>D180/C180</f>
        <v>0.09256632712396333</v>
      </c>
      <c r="H180" s="252">
        <f>1-G180</f>
        <v>0.9074336728760367</v>
      </c>
      <c r="I180" s="163"/>
    </row>
    <row r="181" spans="1:9" ht="16.5" thickTop="1">
      <c r="A181" s="191"/>
      <c r="B181" s="192"/>
      <c r="C181" s="237"/>
      <c r="D181" s="237"/>
      <c r="E181" s="237"/>
      <c r="F181" s="193"/>
      <c r="G181" s="256"/>
      <c r="H181" s="256"/>
      <c r="I181" s="156"/>
    </row>
    <row r="182" spans="1:9" ht="15.75">
      <c r="A182" s="262" t="s">
        <v>67</v>
      </c>
      <c r="B182" s="264"/>
      <c r="C182" s="265"/>
      <c r="D182" s="265"/>
      <c r="E182" s="265"/>
      <c r="F182" s="266"/>
      <c r="G182" s="263"/>
      <c r="H182" s="263"/>
      <c r="I182" s="156"/>
    </row>
    <row r="183" spans="1:9" ht="15.75">
      <c r="A183" s="262" t="s">
        <v>68</v>
      </c>
      <c r="B183" s="264"/>
      <c r="C183" s="265"/>
      <c r="D183" s="265"/>
      <c r="E183" s="265"/>
      <c r="F183" s="266"/>
      <c r="G183" s="263"/>
      <c r="H183" s="263"/>
      <c r="I183" s="156"/>
    </row>
    <row r="184" spans="1:9" ht="15.75">
      <c r="A184" s="262" t="s">
        <v>69</v>
      </c>
      <c r="B184" s="264"/>
      <c r="C184" s="265"/>
      <c r="D184" s="265"/>
      <c r="E184" s="265"/>
      <c r="F184" s="266"/>
      <c r="G184" s="263"/>
      <c r="H184" s="263"/>
      <c r="I184" s="156"/>
    </row>
    <row r="185" spans="1:9" ht="16.5" customHeight="1">
      <c r="A185" s="194" t="s">
        <v>55</v>
      </c>
      <c r="B185" s="195"/>
      <c r="C185" s="238"/>
      <c r="D185" s="238"/>
      <c r="E185" s="238"/>
      <c r="F185" s="196"/>
      <c r="G185" s="257"/>
      <c r="H185" s="257"/>
      <c r="I185" s="156"/>
    </row>
    <row r="186" spans="1:9" ht="15.75">
      <c r="A186" s="197"/>
      <c r="B186" s="195"/>
      <c r="C186" s="238"/>
      <c r="D186" s="238"/>
      <c r="E186" s="238"/>
      <c r="F186" s="196"/>
      <c r="G186" s="263"/>
      <c r="H186" s="263"/>
      <c r="I186" s="156"/>
    </row>
    <row r="187" spans="1:9" ht="15.75">
      <c r="A187" s="74"/>
      <c r="I187" s="156"/>
    </row>
  </sheetData>
  <sheetProtection/>
  <printOptions horizontalCentered="1"/>
  <pageMargins left="0.75" right="0.25" top="0.3194" bottom="0.2" header="0.5" footer="0.5"/>
  <pageSetup horizontalDpi="600" verticalDpi="600" orientation="landscape" scale="59" r:id="rId1"/>
  <rowBreaks count="3" manualBreakCount="3">
    <brk id="50" max="8" man="1"/>
    <brk id="92" max="8" man="1"/>
    <brk id="1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sspre</cp:lastModifiedBy>
  <cp:lastPrinted>2012-06-07T13:50:30Z</cp:lastPrinted>
  <dcterms:created xsi:type="dcterms:W3CDTF">2003-09-09T14:41:43Z</dcterms:created>
  <dcterms:modified xsi:type="dcterms:W3CDTF">2012-06-08T13:04:46Z</dcterms:modified>
  <cp:category/>
  <cp:version/>
  <cp:contentType/>
  <cp:contentStatus/>
</cp:coreProperties>
</file>