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STATS'!$A$1:$M$100</definedName>
    <definedName name="_xlnm.Print_Area" localSheetId="3">'SLOT STATS'!$A$1:$I$101</definedName>
    <definedName name="_xlnm.Print_Area" localSheetId="2">'TABLE STATS'!$A$1:$H$100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<sst xmlns="http://schemas.openxmlformats.org/spreadsheetml/2006/main" count="193" uniqueCount="76">
  <si>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</si>
  <si>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</si>
  <si>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</si>
  <si>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</si>
  <si>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</si>
  <si>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</si>
  <si>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</si>
  <si>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</si>
  <si>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</si>
  <si>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</si>
  <si>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</si>
  <si>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</si>
  <si>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</si>
  <si>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</si>
  <si>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</si>
  <si>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</si>
  <si>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HARRAHS M.H. 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</si>
  <si>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</si>
  <si>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</si>
  <si>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</si>
  <si>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</si>
  <si>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</si>
  <si>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</si>
  <si>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</si>
  <si>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</si>
  <si>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</si>
  <si>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</si>
  <si>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</si>
  <si>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HARRAHS MH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</si>
  <si>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</si>
  <si>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</si>
  <si>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</si>
  <si>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</si>
  <si>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</si>
  <si>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</si>
  <si>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</si>
  <si>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</si>
  <si>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</si>
  <si>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</si>
  <si>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</si>
  <si>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</si>
  <si>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MARYLAND HGTS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</si>
  <si>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</si>
  <si>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</si>
  <si>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</si>
  <si>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</si>
  <si>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</si>
  <si>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</si>
  <si>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</si>
  <si>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</si>
  <si>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</si>
  <si>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</si>
  <si>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</si>
  <si>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</si>
  <si>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</si>
  <si>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</si>
  <si>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</si>
  <si>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</si>
  <si>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</si>
  <si>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</si>
  <si>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 xml:space="preserve">LUMIERE PLACE </t>
  </si>
  <si>
    <t>RIVER CITY</t>
  </si>
  <si>
    <t xml:space="preserve">FISCAL 2012 YTD ADMISSIONS, PATRONS AND AGR SUMMARY </t>
  </si>
  <si>
    <t xml:space="preserve">RIVER CITY </t>
  </si>
  <si>
    <t>IOC - LADY LUCK *</t>
  </si>
  <si>
    <t>MARK TWAIN **</t>
  </si>
  <si>
    <t>ST. JO FRONTIER ***</t>
  </si>
  <si>
    <t>* Lady Luck boat closure 5/1/11 through 5/12/11 due to flooding.</t>
  </si>
  <si>
    <t>** Mark Twain boat closure 6/27/11 due to power outage.</t>
  </si>
  <si>
    <t>*** St. Jo Frontier boat closure 6/28/11 through 9/28/11 due to flooding.</t>
  </si>
  <si>
    <t>MONTH ENDED:   OCTOBER 31, 2011</t>
  </si>
  <si>
    <t>(as reported on the tax remittal database dtd 11/9/11)</t>
  </si>
  <si>
    <t>FOR THE MONTH ENDED:   OCTOBER 31, 2011</t>
  </si>
  <si>
    <t>THRU MONTH ENDED:   OCTOBER 31, 2011</t>
  </si>
  <si>
    <t>(as reported on the tax remittal database as of 11/9/11)</t>
  </si>
  <si>
    <t>THRU MONTH ENDED:     OCTOBER 31,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</si>
</sst>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i/>
      <sz val="12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1">
    <xf numFmtId="164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2" borderId="1" xfId="0" applyFont="1" applyFill="1" applyAlignment="1">
      <alignment/>
    </xf>
    <xf numFmtId="164" fontId="9" fillId="2" borderId="2" xfId="0" applyFont="1" applyFill="1" applyAlignment="1">
      <alignment horizontal="center"/>
    </xf>
    <xf numFmtId="164" fontId="9" fillId="3" borderId="2" xfId="0" applyFont="1" applyFill="1" applyAlignment="1">
      <alignment horizontal="center"/>
    </xf>
    <xf numFmtId="164" fontId="9" fillId="3" borderId="3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0" fillId="2" borderId="4" xfId="0" applyFont="1" applyFill="1" applyAlignment="1">
      <alignment horizontal="center"/>
    </xf>
    <xf numFmtId="164" fontId="9" fillId="2" borderId="5" xfId="0" applyFont="1" applyFill="1" applyAlignment="1">
      <alignment horizontal="center"/>
    </xf>
    <xf numFmtId="164" fontId="0" fillId="3" borderId="5" xfId="0" applyFill="1" applyAlignment="1">
      <alignment horizontal="center"/>
    </xf>
    <xf numFmtId="164" fontId="9" fillId="3" borderId="6" xfId="0" applyFont="1" applyFill="1" applyBorder="1" applyAlignment="1">
      <alignment horizontal="center"/>
    </xf>
    <xf numFmtId="164" fontId="11" fillId="0" borderId="1" xfId="0" applyFont="1" applyAlignment="1">
      <alignment horizontal="center"/>
    </xf>
    <xf numFmtId="164" fontId="11" fillId="0" borderId="2" xfId="0" applyFont="1" applyAlignment="1">
      <alignment horizontal="center"/>
    </xf>
    <xf numFmtId="164" fontId="11" fillId="3" borderId="2" xfId="0" applyFont="1" applyFill="1" applyAlignment="1">
      <alignment horizontal="center"/>
    </xf>
    <xf numFmtId="164" fontId="11" fillId="3" borderId="3" xfId="0" applyFont="1" applyFill="1" applyBorder="1" applyAlignment="1">
      <alignment horizontal="center"/>
    </xf>
    <xf numFmtId="166" fontId="10" fillId="0" borderId="4" xfId="0" applyNumberFormat="1" applyFont="1" applyAlignment="1">
      <alignment/>
    </xf>
    <xf numFmtId="17" fontId="0" fillId="0" borderId="5" xfId="0" applyNumberFormat="1" applyFont="1" applyAlignment="1">
      <alignment horizontal="center"/>
    </xf>
    <xf numFmtId="3" fontId="0" fillId="0" borderId="5" xfId="0" applyNumberFormat="1" applyFont="1" applyAlignment="1">
      <alignment horizontal="center"/>
    </xf>
    <xf numFmtId="3" fontId="0" fillId="0" borderId="5" xfId="0" applyNumberFormat="1" applyAlignment="1">
      <alignment horizontal="center"/>
    </xf>
    <xf numFmtId="9" fontId="0" fillId="3" borderId="5" xfId="0" applyNumberFormat="1" applyFont="1" applyFill="1" applyAlignment="1">
      <alignment horizontal="center"/>
    </xf>
    <xf numFmtId="4" fontId="0" fillId="0" borderId="5" xfId="0" applyNumberFormat="1" applyFont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10" fillId="2" borderId="1" xfId="0" applyNumberFormat="1" applyFont="1" applyFill="1" applyAlignment="1">
      <alignment/>
    </xf>
    <xf numFmtId="164" fontId="0" fillId="2" borderId="2" xfId="0" applyFont="1" applyFill="1" applyAlignment="1">
      <alignment horizontal="center"/>
    </xf>
    <xf numFmtId="3" fontId="10" fillId="2" borderId="2" xfId="0" applyNumberFormat="1" applyFont="1" applyFill="1" applyAlignment="1">
      <alignment horizontal="center"/>
    </xf>
    <xf numFmtId="9" fontId="0" fillId="3" borderId="2" xfId="0" applyNumberFormat="1" applyFont="1" applyFill="1" applyAlignment="1">
      <alignment horizontal="center"/>
    </xf>
    <xf numFmtId="9" fontId="10" fillId="3" borderId="2" xfId="0" applyNumberFormat="1" applyFont="1" applyFill="1" applyAlignment="1">
      <alignment horizontal="center"/>
    </xf>
    <xf numFmtId="4" fontId="10" fillId="2" borderId="2" xfId="0" applyNumberFormat="1" applyFont="1" applyFill="1" applyAlignment="1">
      <alignment horizontal="center"/>
    </xf>
    <xf numFmtId="9" fontId="10" fillId="3" borderId="3" xfId="0" applyNumberFormat="1" applyFont="1" applyFill="1" applyBorder="1" applyAlignment="1">
      <alignment horizontal="center"/>
    </xf>
    <xf numFmtId="166" fontId="10" fillId="0" borderId="1" xfId="0" applyNumberFormat="1" applyFont="1" applyAlignment="1">
      <alignment/>
    </xf>
    <xf numFmtId="164" fontId="0" fillId="0" borderId="2" xfId="0" applyFont="1" applyAlignment="1">
      <alignment horizontal="center"/>
    </xf>
    <xf numFmtId="3" fontId="0" fillId="0" borderId="2" xfId="0" applyNumberFormat="1" applyFont="1" applyAlignment="1">
      <alignment horizontal="center"/>
    </xf>
    <xf numFmtId="4" fontId="0" fillId="0" borderId="2" xfId="0" applyNumberFormat="1" applyFont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Alignment="1">
      <alignment/>
    </xf>
    <xf numFmtId="166" fontId="10" fillId="2" borderId="7" xfId="0" applyNumberFormat="1" applyFont="1" applyFill="1" applyBorder="1" applyAlignment="1">
      <alignment/>
    </xf>
    <xf numFmtId="164" fontId="0" fillId="2" borderId="8" xfId="0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/>
    </xf>
    <xf numFmtId="9" fontId="0" fillId="3" borderId="8" xfId="0" applyNumberFormat="1" applyFont="1" applyFill="1" applyBorder="1" applyAlignment="1">
      <alignment horizontal="center"/>
    </xf>
    <xf numFmtId="9" fontId="10" fillId="3" borderId="8" xfId="0" applyNumberFormat="1" applyFont="1" applyFill="1" applyBorder="1" applyAlignment="1">
      <alignment horizontal="center"/>
    </xf>
    <xf numFmtId="4" fontId="10" fillId="2" borderId="8" xfId="0" applyNumberFormat="1" applyFont="1" applyFill="1" applyBorder="1" applyAlignment="1">
      <alignment horizontal="center"/>
    </xf>
    <xf numFmtId="9" fontId="10" fillId="3" borderId="9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>
      <alignment/>
    </xf>
    <xf numFmtId="164" fontId="0" fillId="0" borderId="5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164" fontId="0" fillId="0" borderId="5" xfId="0" applyFont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10" fillId="2" borderId="11" xfId="0" applyNumberFormat="1" applyFont="1" applyFill="1" applyBorder="1" applyAlignment="1">
      <alignment horizontal="center"/>
    </xf>
    <xf numFmtId="3" fontId="10" fillId="2" borderId="10" xfId="0" applyNumberFormat="1" applyFont="1" applyFill="1" applyBorder="1" applyAlignment="1">
      <alignment horizontal="center"/>
    </xf>
    <xf numFmtId="9" fontId="10" fillId="3" borderId="11" xfId="0" applyNumberFormat="1" applyFont="1" applyFill="1" applyBorder="1" applyAlignment="1">
      <alignment horizontal="center"/>
    </xf>
    <xf numFmtId="4" fontId="10" fillId="2" borderId="10" xfId="0" applyNumberFormat="1" applyFont="1" applyFill="1" applyBorder="1" applyAlignment="1">
      <alignment horizontal="center"/>
    </xf>
    <xf numFmtId="4" fontId="10" fillId="2" borderId="11" xfId="0" applyNumberFormat="1" applyFont="1" applyFill="1" applyBorder="1" applyAlignment="1">
      <alignment horizontal="center"/>
    </xf>
    <xf numFmtId="166" fontId="10" fillId="0" borderId="4" xfId="0" applyNumberFormat="1" applyFont="1" applyBorder="1" applyAlignment="1">
      <alignment/>
    </xf>
    <xf numFmtId="164" fontId="0" fillId="2" borderId="10" xfId="0" applyFont="1" applyFill="1" applyBorder="1" applyAlignment="1">
      <alignment horizontal="center"/>
    </xf>
    <xf numFmtId="9" fontId="10" fillId="3" borderId="10" xfId="0" applyNumberFormat="1" applyFont="1" applyFill="1" applyBorder="1" applyAlignment="1">
      <alignment horizontal="center"/>
    </xf>
    <xf numFmtId="164" fontId="0" fillId="0" borderId="1" xfId="0" applyNumberFormat="1" applyAlignment="1">
      <alignment/>
    </xf>
    <xf numFmtId="164" fontId="0" fillId="0" borderId="2" xfId="0" applyNumberFormat="1" applyAlignment="1">
      <alignment/>
    </xf>
    <xf numFmtId="164" fontId="0" fillId="3" borderId="2" xfId="0" applyNumberFormat="1" applyFont="1" applyFill="1" applyAlignment="1">
      <alignment/>
    </xf>
    <xf numFmtId="164" fontId="0" fillId="3" borderId="3" xfId="0" applyNumberFormat="1" applyFont="1" applyFill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3" borderId="5" xfId="0" applyNumberFormat="1" applyFont="1" applyFill="1" applyBorder="1" applyAlignment="1">
      <alignment/>
    </xf>
    <xf numFmtId="164" fontId="0" fillId="3" borderId="6" xfId="0" applyNumberFormat="1" applyFont="1" applyFill="1" applyBorder="1" applyAlignment="1">
      <alignment/>
    </xf>
    <xf numFmtId="166" fontId="10" fillId="2" borderId="12" xfId="0" applyNumberFormat="1" applyFont="1" applyFill="1" applyBorder="1" applyAlignment="1">
      <alignment/>
    </xf>
    <xf numFmtId="166" fontId="0" fillId="0" borderId="1" xfId="0" applyNumberFormat="1" applyFont="1" applyAlignment="1">
      <alignment/>
    </xf>
    <xf numFmtId="166" fontId="10" fillId="2" borderId="1" xfId="0" applyNumberFormat="1" applyFont="1" applyFill="1" applyAlignment="1">
      <alignment horizontal="center"/>
    </xf>
    <xf numFmtId="164" fontId="10" fillId="2" borderId="2" xfId="0" applyFont="1" applyFill="1" applyAlignment="1">
      <alignment horizontal="center"/>
    </xf>
    <xf numFmtId="166" fontId="0" fillId="0" borderId="13" xfId="0" applyNumberFormat="1" applyFont="1" applyAlignment="1">
      <alignment/>
    </xf>
    <xf numFmtId="164" fontId="0" fillId="0" borderId="13" xfId="0" applyFont="1" applyAlignment="1">
      <alignment horizontal="center"/>
    </xf>
    <xf numFmtId="3" fontId="0" fillId="0" borderId="13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0" fillId="0" borderId="0" xfId="0" applyFont="1" applyAlignment="1">
      <alignment/>
    </xf>
    <xf numFmtId="17" fontId="0" fillId="0" borderId="0" xfId="0" applyNumberFormat="1" applyFont="1" applyAlignment="1">
      <alignment/>
    </xf>
    <xf numFmtId="0" fontId="12" fillId="0" borderId="0" xfId="19" applyFont="1" applyAlignment="1">
      <alignment/>
      <protection/>
    </xf>
    <xf numFmtId="0" fontId="0" fillId="0" borderId="0" xfId="19" applyFont="1" applyAlignment="1">
      <alignment/>
      <protection/>
    </xf>
    <xf numFmtId="0" fontId="0" fillId="0" borderId="0" xfId="19" applyNumberFormat="1" applyFont="1" applyAlignment="1">
      <alignment/>
      <protection locked="0"/>
    </xf>
    <xf numFmtId="0" fontId="0" fillId="3" borderId="1" xfId="19" applyFont="1" applyFill="1" applyAlignment="1">
      <alignment/>
      <protection/>
    </xf>
    <xf numFmtId="0" fontId="10" fillId="3" borderId="1" xfId="19" applyFont="1" applyFill="1" applyAlignment="1">
      <alignment horizontal="center"/>
      <protection/>
    </xf>
    <xf numFmtId="0" fontId="0" fillId="0" borderId="4" xfId="19" applyNumberFormat="1">
      <alignment/>
      <protection/>
    </xf>
    <xf numFmtId="0" fontId="0" fillId="3" borderId="4" xfId="19" applyFill="1" applyAlignment="1">
      <alignment horizontal="center"/>
      <protection/>
    </xf>
    <xf numFmtId="0" fontId="11" fillId="3" borderId="4" xfId="19" applyFont="1" applyFill="1" applyAlignment="1">
      <alignment horizontal="center"/>
      <protection/>
    </xf>
    <xf numFmtId="0" fontId="0" fillId="3" borderId="4" xfId="19" applyFont="1" applyFill="1" applyAlignment="1">
      <alignment/>
      <protection/>
    </xf>
    <xf numFmtId="0" fontId="0" fillId="2" borderId="1" xfId="19" applyFont="1" applyFill="1" applyAlignment="1">
      <alignment/>
      <protection/>
    </xf>
    <xf numFmtId="0" fontId="0" fillId="0" borderId="1" xfId="19" applyFont="1" applyAlignment="1">
      <alignment/>
      <protection/>
    </xf>
    <xf numFmtId="17" fontId="0" fillId="0" borderId="14" xfId="19" applyNumberFormat="1" applyFont="1" applyAlignment="1">
      <alignment horizontal="center"/>
      <protection/>
    </xf>
    <xf numFmtId="3" fontId="0" fillId="0" borderId="14" xfId="19" applyNumberFormat="1" applyFont="1" applyAlignment="1">
      <alignment horizontal="center"/>
      <protection/>
    </xf>
    <xf numFmtId="3" fontId="10" fillId="0" borderId="14" xfId="19" applyNumberFormat="1" applyFont="1" applyAlignment="1">
      <alignment horizontal="center"/>
      <protection/>
    </xf>
    <xf numFmtId="17" fontId="11" fillId="0" borderId="14" xfId="19" applyNumberFormat="1" applyFont="1" applyAlignment="1">
      <alignment horizontal="center"/>
      <protection/>
    </xf>
    <xf numFmtId="17" fontId="10" fillId="0" borderId="14" xfId="19" applyNumberFormat="1" applyFont="1" applyAlignment="1">
      <alignment horizontal="center"/>
      <protection/>
    </xf>
    <xf numFmtId="17" fontId="0" fillId="0" borderId="13" xfId="19" applyNumberFormat="1" applyFont="1" applyAlignment="1">
      <alignment horizontal="center"/>
      <protection/>
    </xf>
    <xf numFmtId="0" fontId="0" fillId="0" borderId="13" xfId="19" applyFont="1" applyAlignment="1">
      <alignment horizontal="center"/>
      <protection/>
    </xf>
    <xf numFmtId="0" fontId="0" fillId="0" borderId="13" xfId="19" applyNumberFormat="1" applyFont="1" applyAlignment="1">
      <alignment horizontal="center"/>
      <protection/>
    </xf>
    <xf numFmtId="17" fontId="12" fillId="0" borderId="0" xfId="19" applyNumberFormat="1" applyFont="1" applyAlignment="1">
      <alignment horizontal="centerContinuous"/>
      <protection/>
    </xf>
    <xf numFmtId="0" fontId="12" fillId="0" borderId="0" xfId="19" applyNumberFormat="1" applyFont="1" applyAlignment="1">
      <alignment horizontal="centerContinuous"/>
      <protection/>
    </xf>
    <xf numFmtId="0" fontId="0" fillId="0" borderId="0" xfId="19" applyFont="1" applyAlignment="1">
      <alignment horizontal="center"/>
      <protection/>
    </xf>
    <xf numFmtId="0" fontId="0" fillId="0" borderId="0" xfId="19" applyNumberFormat="1" applyFont="1" applyAlignment="1">
      <alignment horizontal="center"/>
      <protection/>
    </xf>
    <xf numFmtId="17" fontId="0" fillId="3" borderId="1" xfId="19" applyNumberFormat="1" applyFont="1" applyFill="1" applyAlignment="1">
      <alignment horizontal="center"/>
      <protection/>
    </xf>
    <xf numFmtId="0" fontId="0" fillId="3" borderId="1" xfId="19" applyFont="1" applyFill="1" applyAlignment="1">
      <alignment horizontal="center"/>
      <protection/>
    </xf>
    <xf numFmtId="0" fontId="11" fillId="3" borderId="1" xfId="19" applyFont="1" applyFill="1" applyAlignment="1">
      <alignment horizontal="center"/>
      <protection/>
    </xf>
    <xf numFmtId="0" fontId="0" fillId="3" borderId="1" xfId="19" applyNumberFormat="1" applyFont="1" applyFill="1" applyAlignment="1">
      <alignment horizontal="center"/>
      <protection/>
    </xf>
    <xf numFmtId="0" fontId="10" fillId="3" borderId="1" xfId="19" applyNumberFormat="1" applyFont="1" applyFill="1" applyAlignment="1">
      <alignment horizontal="center"/>
      <protection/>
    </xf>
    <xf numFmtId="17" fontId="11" fillId="3" borderId="4" xfId="19" applyNumberFormat="1" applyFont="1" applyFill="1" applyAlignment="1">
      <alignment horizontal="center"/>
      <protection/>
    </xf>
    <xf numFmtId="0" fontId="11" fillId="3" borderId="4" xfId="19" applyNumberFormat="1" applyFont="1" applyFill="1" applyAlignment="1">
      <alignment horizontal="center"/>
      <protection/>
    </xf>
    <xf numFmtId="17" fontId="0" fillId="3" borderId="4" xfId="19" applyNumberFormat="1" applyFont="1" applyFill="1" applyAlignment="1">
      <alignment horizontal="center"/>
      <protection/>
    </xf>
    <xf numFmtId="0" fontId="0" fillId="3" borderId="4" xfId="19" applyFont="1" applyFill="1" applyAlignment="1">
      <alignment horizontal="center"/>
      <protection/>
    </xf>
    <xf numFmtId="0" fontId="0" fillId="3" borderId="4" xfId="19" applyNumberFormat="1" applyFont="1" applyFill="1" applyAlignment="1">
      <alignment horizontal="center"/>
      <protection/>
    </xf>
    <xf numFmtId="17" fontId="0" fillId="2" borderId="1" xfId="19" applyNumberFormat="1" applyFont="1" applyFill="1" applyAlignment="1">
      <alignment horizontal="center"/>
      <protection/>
    </xf>
    <xf numFmtId="0" fontId="0" fillId="2" borderId="1" xfId="19" applyFont="1" applyFill="1" applyAlignment="1">
      <alignment horizontal="center"/>
      <protection/>
    </xf>
    <xf numFmtId="0" fontId="0" fillId="0" borderId="1" xfId="19" applyFont="1" applyAlignment="1">
      <alignment horizontal="center"/>
      <protection/>
    </xf>
    <xf numFmtId="0" fontId="0" fillId="2" borderId="1" xfId="19" applyNumberFormat="1" applyFont="1" applyFill="1" applyAlignment="1">
      <alignment horizontal="center"/>
      <protection/>
    </xf>
    <xf numFmtId="4" fontId="0" fillId="0" borderId="13" xfId="19" applyNumberFormat="1" applyFont="1" applyAlignment="1">
      <alignment horizontal="center"/>
      <protection/>
    </xf>
    <xf numFmtId="0" fontId="11" fillId="0" borderId="0" xfId="19" applyFont="1" applyAlignment="1">
      <alignment horizontal="left"/>
      <protection/>
    </xf>
    <xf numFmtId="0" fontId="6" fillId="0" borderId="0" xfId="18" applyNumberFormat="1" applyFont="1" applyAlignment="1">
      <alignment/>
      <protection/>
    </xf>
    <xf numFmtId="0" fontId="0" fillId="0" borderId="0" xfId="18" applyNumberFormat="1" applyFont="1" applyAlignment="1">
      <alignment/>
      <protection/>
    </xf>
    <xf numFmtId="0" fontId="0" fillId="0" borderId="0" xfId="18" applyAlignment="1">
      <alignment/>
      <protection/>
    </xf>
    <xf numFmtId="0" fontId="7" fillId="0" borderId="0" xfId="18" applyNumberFormat="1" applyFont="1" applyAlignment="1">
      <alignment/>
      <protection/>
    </xf>
    <xf numFmtId="0" fontId="8" fillId="0" borderId="0" xfId="18" applyNumberFormat="1" applyFont="1" applyAlignment="1">
      <alignment/>
      <protection/>
    </xf>
    <xf numFmtId="0" fontId="0" fillId="2" borderId="1" xfId="18" applyNumberFormat="1" applyFont="1" applyFill="1" applyAlignment="1">
      <alignment/>
      <protection/>
    </xf>
    <xf numFmtId="0" fontId="10" fillId="2" borderId="2" xfId="18" applyNumberFormat="1" applyFont="1" applyFill="1" applyAlignment="1">
      <alignment horizontal="center"/>
      <protection/>
    </xf>
    <xf numFmtId="0" fontId="10" fillId="3" borderId="2" xfId="18" applyNumberFormat="1" applyFont="1" applyFill="1" applyAlignment="1">
      <alignment horizontal="center"/>
      <protection/>
    </xf>
    <xf numFmtId="0" fontId="0" fillId="0" borderId="4" xfId="18">
      <alignment/>
      <protection/>
    </xf>
    <xf numFmtId="0" fontId="10" fillId="2" borderId="15" xfId="18" applyNumberFormat="1" applyFont="1" applyFill="1" applyBorder="1" applyAlignment="1">
      <alignment horizontal="center"/>
      <protection/>
    </xf>
    <xf numFmtId="0" fontId="10" fillId="2" borderId="16" xfId="18" applyNumberFormat="1" applyFont="1" applyFill="1" applyBorder="1" applyAlignment="1">
      <alignment horizontal="center"/>
      <protection/>
    </xf>
    <xf numFmtId="0" fontId="10" fillId="3" borderId="16" xfId="18" applyNumberFormat="1" applyFont="1" applyFill="1" applyBorder="1" applyAlignment="1">
      <alignment horizontal="center"/>
      <protection/>
    </xf>
    <xf numFmtId="0" fontId="11" fillId="0" borderId="4" xfId="18" applyNumberFormat="1" applyFont="1" applyBorder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11" fillId="3" borderId="5" xfId="18" applyNumberFormat="1" applyFont="1" applyFill="1" applyBorder="1" applyAlignment="1">
      <alignment horizontal="center"/>
      <protection/>
    </xf>
    <xf numFmtId="166" fontId="10" fillId="0" borderId="4" xfId="18" applyNumberFormat="1" applyFont="1" applyAlignment="1">
      <alignment/>
      <protection/>
    </xf>
    <xf numFmtId="17" fontId="0" fillId="0" borderId="5" xfId="18" applyNumberFormat="1" applyFont="1" applyAlignment="1">
      <alignment horizontal="center"/>
      <protection/>
    </xf>
    <xf numFmtId="9" fontId="0" fillId="3" borderId="5" xfId="18" applyNumberFormat="1" applyFont="1" applyFill="1" applyAlignment="1">
      <alignment horizontal="center"/>
      <protection/>
    </xf>
    <xf numFmtId="166" fontId="0" fillId="0" borderId="4" xfId="18" applyNumberFormat="1" applyFont="1" applyAlignment="1">
      <alignment/>
      <protection/>
    </xf>
    <xf numFmtId="0" fontId="0" fillId="0" borderId="5" xfId="18" applyNumberFormat="1" applyFont="1" applyAlignment="1">
      <alignment horizontal="center"/>
      <protection/>
    </xf>
    <xf numFmtId="166" fontId="10" fillId="2" borderId="1" xfId="18" applyNumberFormat="1" applyFont="1" applyFill="1" applyAlignment="1">
      <alignment/>
      <protection/>
    </xf>
    <xf numFmtId="0" fontId="0" fillId="2" borderId="2" xfId="18" applyNumberFormat="1" applyFont="1" applyFill="1" applyAlignment="1">
      <alignment horizontal="center"/>
      <protection/>
    </xf>
    <xf numFmtId="9" fontId="10" fillId="3" borderId="2" xfId="18" applyNumberFormat="1" applyFont="1" applyFill="1" applyAlignment="1">
      <alignment horizontal="center"/>
      <protection/>
    </xf>
    <xf numFmtId="166" fontId="10" fillId="0" borderId="1" xfId="18" applyNumberFormat="1" applyFont="1" applyAlignment="1">
      <alignment/>
      <protection/>
    </xf>
    <xf numFmtId="0" fontId="0" fillId="0" borderId="2" xfId="18" applyNumberFormat="1" applyFont="1" applyAlignment="1">
      <alignment horizontal="center"/>
      <protection/>
    </xf>
    <xf numFmtId="9" fontId="0" fillId="3" borderId="2" xfId="18" applyNumberFormat="1" applyFont="1" applyFill="1" applyAlignment="1">
      <alignment horizontal="center"/>
      <protection/>
    </xf>
    <xf numFmtId="166" fontId="10" fillId="2" borderId="7" xfId="18" applyNumberFormat="1" applyFont="1" applyFill="1" applyBorder="1" applyAlignment="1">
      <alignment/>
      <protection/>
    </xf>
    <xf numFmtId="0" fontId="0" fillId="2" borderId="8" xfId="18" applyNumberFormat="1" applyFont="1" applyFill="1" applyBorder="1" applyAlignment="1">
      <alignment horizontal="center"/>
      <protection/>
    </xf>
    <xf numFmtId="9" fontId="10" fillId="3" borderId="8" xfId="18" applyNumberFormat="1" applyFont="1" applyFill="1" applyBorder="1" applyAlignment="1">
      <alignment horizontal="center"/>
      <protection/>
    </xf>
    <xf numFmtId="166" fontId="0" fillId="0" borderId="4" xfId="18" applyNumberFormat="1" applyFont="1" applyBorder="1" applyAlignment="1">
      <alignment/>
      <protection/>
    </xf>
    <xf numFmtId="0" fontId="0" fillId="0" borderId="5" xfId="18" applyNumberFormat="1" applyFont="1" applyBorder="1" applyAlignment="1">
      <alignment horizontal="center"/>
      <protection/>
    </xf>
    <xf numFmtId="9" fontId="0" fillId="3" borderId="5" xfId="18" applyNumberFormat="1" applyFont="1" applyFill="1" applyBorder="1" applyAlignment="1">
      <alignment horizontal="center"/>
      <protection/>
    </xf>
    <xf numFmtId="0" fontId="10" fillId="0" borderId="4" xfId="18" applyNumberFormat="1" applyFont="1" applyAlignment="1">
      <alignment/>
      <protection/>
    </xf>
    <xf numFmtId="166" fontId="10" fillId="0" borderId="4" xfId="18" applyNumberFormat="1" applyFont="1" applyBorder="1" applyAlignment="1">
      <alignment/>
      <protection/>
    </xf>
    <xf numFmtId="166" fontId="10" fillId="0" borderId="1" xfId="18" applyNumberFormat="1" applyFont="1" applyBorder="1" applyAlignment="1">
      <alignment/>
      <protection/>
    </xf>
    <xf numFmtId="0" fontId="0" fillId="0" borderId="2" xfId="18" applyNumberFormat="1" applyFont="1" applyBorder="1" applyAlignment="1">
      <alignment horizontal="center"/>
      <protection/>
    </xf>
    <xf numFmtId="9" fontId="0" fillId="3" borderId="2" xfId="18" applyNumberFormat="1" applyFont="1" applyFill="1" applyBorder="1" applyAlignment="1">
      <alignment horizontal="center"/>
      <protection/>
    </xf>
    <xf numFmtId="166" fontId="10" fillId="2" borderId="12" xfId="18" applyNumberFormat="1" applyFont="1" applyFill="1" applyBorder="1" applyAlignment="1">
      <alignment/>
      <protection/>
    </xf>
    <xf numFmtId="0" fontId="0" fillId="2" borderId="10" xfId="18" applyNumberFormat="1" applyFont="1" applyFill="1" applyBorder="1" applyAlignment="1">
      <alignment horizontal="center"/>
      <protection/>
    </xf>
    <xf numFmtId="166" fontId="0" fillId="0" borderId="1" xfId="18" applyNumberFormat="1" applyFont="1" applyAlignment="1">
      <alignment/>
      <protection/>
    </xf>
    <xf numFmtId="166" fontId="10" fillId="2" borderId="1" xfId="18" applyNumberFormat="1" applyFont="1" applyFill="1" applyAlignment="1">
      <alignment horizontal="center"/>
      <protection/>
    </xf>
    <xf numFmtId="4" fontId="10" fillId="0" borderId="0" xfId="18" applyNumberFormat="1" applyFont="1" applyAlignment="1">
      <alignment/>
      <protection/>
    </xf>
    <xf numFmtId="0" fontId="6" fillId="0" borderId="0" xfId="17" applyNumberFormat="1" applyFont="1" applyAlignment="1">
      <alignment/>
      <protection/>
    </xf>
    <xf numFmtId="0" fontId="0" fillId="0" borderId="0" xfId="17" applyNumberFormat="1" applyFont="1" applyAlignment="1">
      <alignment/>
      <protection/>
    </xf>
    <xf numFmtId="0" fontId="0" fillId="0" borderId="0" xfId="17">
      <alignment/>
      <protection/>
    </xf>
    <xf numFmtId="0" fontId="0" fillId="0" borderId="0" xfId="17" applyAlignment="1">
      <alignment/>
      <protection/>
    </xf>
    <xf numFmtId="0" fontId="7" fillId="0" borderId="0" xfId="17" applyNumberFormat="1" applyFont="1" applyAlignment="1">
      <alignment/>
      <protection/>
    </xf>
    <xf numFmtId="0" fontId="8" fillId="0" borderId="0" xfId="17" applyNumberFormat="1" applyFont="1" applyAlignment="1">
      <alignment/>
      <protection/>
    </xf>
    <xf numFmtId="0" fontId="10" fillId="2" borderId="1" xfId="17" applyNumberFormat="1" applyFont="1" applyFill="1" applyAlignment="1">
      <alignment horizontal="center"/>
      <protection/>
    </xf>
    <xf numFmtId="0" fontId="10" fillId="2" borderId="2" xfId="17" applyNumberFormat="1" applyFont="1" applyFill="1" applyAlignment="1">
      <alignment horizontal="center"/>
      <protection/>
    </xf>
    <xf numFmtId="0" fontId="10" fillId="3" borderId="2" xfId="17" applyNumberFormat="1" applyFont="1" applyFill="1" applyAlignment="1">
      <alignment horizontal="center"/>
      <protection/>
    </xf>
    <xf numFmtId="0" fontId="0" fillId="0" borderId="0" xfId="17" applyBorder="1">
      <alignment/>
      <protection/>
    </xf>
    <xf numFmtId="0" fontId="10" fillId="2" borderId="4" xfId="17" applyNumberFormat="1" applyFont="1" applyFill="1" applyAlignment="1">
      <alignment horizontal="center"/>
      <protection/>
    </xf>
    <xf numFmtId="0" fontId="10" fillId="2" borderId="5" xfId="17" applyNumberFormat="1" applyFont="1" applyFill="1" applyAlignment="1">
      <alignment horizontal="center"/>
      <protection/>
    </xf>
    <xf numFmtId="0" fontId="10" fillId="3" borderId="5" xfId="17" applyNumberFormat="1" applyFont="1" applyFill="1" applyAlignment="1">
      <alignment horizontal="center"/>
      <protection/>
    </xf>
    <xf numFmtId="0" fontId="11" fillId="0" borderId="1" xfId="17" applyNumberFormat="1" applyFont="1" applyAlignment="1">
      <alignment horizontal="center"/>
      <protection/>
    </xf>
    <xf numFmtId="0" fontId="11" fillId="0" borderId="2" xfId="17" applyNumberFormat="1" applyFont="1" applyAlignment="1">
      <alignment horizontal="center"/>
      <protection/>
    </xf>
    <xf numFmtId="0" fontId="11" fillId="3" borderId="2" xfId="17" applyNumberFormat="1" applyFont="1" applyFill="1" applyAlignment="1">
      <alignment horizontal="center"/>
      <protection/>
    </xf>
    <xf numFmtId="166" fontId="10" fillId="0" borderId="4" xfId="17" applyNumberFormat="1" applyFont="1" applyAlignment="1">
      <alignment/>
      <protection/>
    </xf>
    <xf numFmtId="17" fontId="0" fillId="0" borderId="5" xfId="17" applyNumberFormat="1" applyFont="1" applyAlignment="1">
      <alignment horizontal="center"/>
      <protection/>
    </xf>
    <xf numFmtId="9" fontId="0" fillId="3" borderId="5" xfId="17" applyNumberFormat="1" applyFont="1" applyFill="1" applyAlignment="1">
      <alignment horizontal="center"/>
      <protection/>
    </xf>
    <xf numFmtId="166" fontId="0" fillId="0" borderId="4" xfId="17" applyNumberFormat="1" applyFont="1" applyAlignment="1">
      <alignment/>
      <protection/>
    </xf>
    <xf numFmtId="0" fontId="0" fillId="0" borderId="5" xfId="17" applyNumberFormat="1" applyFont="1" applyAlignment="1">
      <alignment horizontal="center"/>
      <protection/>
    </xf>
    <xf numFmtId="166" fontId="10" fillId="2" borderId="1" xfId="17" applyNumberFormat="1" applyFont="1" applyFill="1" applyAlignment="1">
      <alignment/>
      <protection/>
    </xf>
    <xf numFmtId="9" fontId="10" fillId="3" borderId="2" xfId="17" applyNumberFormat="1" applyFont="1" applyFill="1" applyAlignment="1">
      <alignment horizontal="center"/>
      <protection/>
    </xf>
    <xf numFmtId="166" fontId="0" fillId="0" borderId="1" xfId="17" applyNumberFormat="1" applyFont="1" applyAlignment="1">
      <alignment/>
      <protection/>
    </xf>
    <xf numFmtId="0" fontId="0" fillId="0" borderId="2" xfId="17" applyNumberFormat="1" applyFont="1" applyAlignment="1">
      <alignment horizontal="center"/>
      <protection/>
    </xf>
    <xf numFmtId="9" fontId="0" fillId="3" borderId="2" xfId="17" applyNumberFormat="1" applyFont="1" applyFill="1" applyAlignment="1">
      <alignment horizontal="center"/>
      <protection/>
    </xf>
    <xf numFmtId="166" fontId="10" fillId="2" borderId="7" xfId="17" applyNumberFormat="1" applyFont="1" applyFill="1" applyBorder="1" applyAlignment="1">
      <alignment/>
      <protection/>
    </xf>
    <xf numFmtId="0" fontId="10" fillId="2" borderId="8" xfId="17" applyNumberFormat="1" applyFont="1" applyFill="1" applyBorder="1" applyAlignment="1">
      <alignment horizontal="center"/>
      <protection/>
    </xf>
    <xf numFmtId="9" fontId="10" fillId="3" borderId="8" xfId="17" applyNumberFormat="1" applyFont="1" applyFill="1" applyBorder="1" applyAlignment="1">
      <alignment horizontal="center"/>
      <protection/>
    </xf>
    <xf numFmtId="166" fontId="0" fillId="0" borderId="4" xfId="17" applyNumberFormat="1" applyFont="1" applyBorder="1" applyAlignment="1">
      <alignment/>
      <protection/>
    </xf>
    <xf numFmtId="0" fontId="0" fillId="0" borderId="5" xfId="17" applyNumberFormat="1" applyFont="1" applyBorder="1" applyAlignment="1">
      <alignment horizontal="center"/>
      <protection/>
    </xf>
    <xf numFmtId="9" fontId="0" fillId="3" borderId="5" xfId="17" applyNumberFormat="1" applyFont="1" applyFill="1" applyBorder="1" applyAlignment="1">
      <alignment horizontal="center"/>
      <protection/>
    </xf>
    <xf numFmtId="0" fontId="10" fillId="0" borderId="4" xfId="17" applyNumberFormat="1" applyFont="1" applyAlignment="1">
      <alignment/>
      <protection/>
    </xf>
    <xf numFmtId="17" fontId="10" fillId="2" borderId="8" xfId="17" applyNumberFormat="1" applyFont="1" applyFill="1" applyBorder="1" applyAlignment="1">
      <alignment horizontal="center"/>
      <protection/>
    </xf>
    <xf numFmtId="0" fontId="0" fillId="0" borderId="5" xfId="17" applyBorder="1">
      <alignment/>
      <protection/>
    </xf>
    <xf numFmtId="0" fontId="0" fillId="3" borderId="5" xfId="17" applyFont="1" applyFill="1" applyBorder="1" applyAlignment="1">
      <alignment/>
      <protection/>
    </xf>
    <xf numFmtId="0" fontId="0" fillId="2" borderId="8" xfId="17" applyNumberFormat="1" applyFont="1" applyFill="1" applyBorder="1" applyAlignment="1">
      <alignment horizontal="center"/>
      <protection/>
    </xf>
    <xf numFmtId="166" fontId="10" fillId="2" borderId="12" xfId="17" applyNumberFormat="1" applyFont="1" applyFill="1" applyBorder="1" applyAlignment="1">
      <alignment/>
      <protection/>
    </xf>
    <xf numFmtId="0" fontId="10" fillId="2" borderId="10" xfId="17" applyNumberFormat="1" applyFont="1" applyFill="1" applyBorder="1" applyAlignment="1">
      <alignment horizontal="center"/>
      <protection/>
    </xf>
    <xf numFmtId="166" fontId="10" fillId="2" borderId="1" xfId="17" applyNumberFormat="1" applyFont="1" applyFill="1" applyAlignment="1">
      <alignment horizontal="center"/>
      <protection/>
    </xf>
    <xf numFmtId="166" fontId="10" fillId="0" borderId="13" xfId="17" applyNumberFormat="1" applyFont="1" applyAlignment="1">
      <alignment/>
      <protection/>
    </xf>
    <xf numFmtId="0" fontId="10" fillId="0" borderId="13" xfId="17" applyNumberFormat="1" applyFont="1" applyAlignment="1">
      <alignment horizontal="center"/>
      <protection/>
    </xf>
    <xf numFmtId="4" fontId="10" fillId="0" borderId="13" xfId="17" applyNumberFormat="1" applyFont="1" applyAlignment="1">
      <alignment horizontal="center"/>
      <protection/>
    </xf>
    <xf numFmtId="0" fontId="13" fillId="0" borderId="0" xfId="17" applyNumberFormat="1" applyFont="1" applyAlignment="1">
      <alignment/>
      <protection/>
    </xf>
    <xf numFmtId="17" fontId="10" fillId="0" borderId="0" xfId="17" applyNumberFormat="1" applyFont="1" applyAlignment="1">
      <alignment horizontal="center"/>
      <protection/>
    </xf>
    <xf numFmtId="4" fontId="10" fillId="0" borderId="0" xfId="17" applyNumberFormat="1" applyFont="1" applyAlignment="1">
      <alignment horizontal="center"/>
      <protection/>
    </xf>
    <xf numFmtId="0" fontId="10" fillId="0" borderId="0" xfId="17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9" fillId="2" borderId="2" xfId="0" applyNumberFormat="1" applyFont="1" applyFill="1" applyAlignment="1">
      <alignment horizontal="center"/>
    </xf>
    <xf numFmtId="3" fontId="9" fillId="2" borderId="5" xfId="0" applyNumberFormat="1" applyFont="1" applyFill="1" applyAlignment="1">
      <alignment horizontal="center"/>
    </xf>
    <xf numFmtId="3" fontId="11" fillId="0" borderId="2" xfId="0" applyNumberFormat="1" applyFont="1" applyAlignment="1">
      <alignment horizontal="center"/>
    </xf>
    <xf numFmtId="3" fontId="0" fillId="0" borderId="2" xfId="0" applyNumberFormat="1" applyAlignment="1">
      <alignment/>
    </xf>
    <xf numFmtId="3" fontId="0" fillId="0" borderId="5" xfId="0" applyNumberFormat="1" applyBorder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18" applyNumberFormat="1" applyFont="1" applyAlignment="1">
      <alignment/>
      <protection/>
    </xf>
    <xf numFmtId="3" fontId="10" fillId="2" borderId="2" xfId="18" applyNumberFormat="1" applyFont="1" applyFill="1" applyAlignment="1">
      <alignment horizontal="center"/>
      <protection/>
    </xf>
    <xf numFmtId="3" fontId="10" fillId="2" borderId="16" xfId="18" applyNumberFormat="1" applyFont="1" applyFill="1" applyBorder="1" applyAlignment="1">
      <alignment horizontal="center"/>
      <protection/>
    </xf>
    <xf numFmtId="3" fontId="11" fillId="0" borderId="5" xfId="18" applyNumberFormat="1" applyFont="1" applyBorder="1" applyAlignment="1">
      <alignment horizontal="center"/>
      <protection/>
    </xf>
    <xf numFmtId="3" fontId="0" fillId="0" borderId="5" xfId="18" applyNumberFormat="1" applyFont="1" applyAlignment="1">
      <alignment horizontal="center"/>
      <protection/>
    </xf>
    <xf numFmtId="3" fontId="0" fillId="0" borderId="2" xfId="18" applyNumberFormat="1" applyFont="1" applyAlignment="1">
      <alignment horizontal="center"/>
      <protection/>
    </xf>
    <xf numFmtId="3" fontId="10" fillId="2" borderId="8" xfId="18" applyNumberFormat="1" applyFont="1" applyFill="1" applyBorder="1" applyAlignment="1">
      <alignment horizontal="center"/>
      <protection/>
    </xf>
    <xf numFmtId="3" fontId="0" fillId="0" borderId="5" xfId="18" applyNumberFormat="1" applyFont="1" applyBorder="1" applyAlignment="1">
      <alignment horizontal="center"/>
      <protection/>
    </xf>
    <xf numFmtId="3" fontId="0" fillId="0" borderId="2" xfId="18" applyNumberFormat="1" applyFont="1" applyBorder="1" applyAlignment="1">
      <alignment horizontal="center"/>
      <protection/>
    </xf>
    <xf numFmtId="3" fontId="10" fillId="2" borderId="10" xfId="18" applyNumberFormat="1" applyFont="1" applyFill="1" applyBorder="1" applyAlignment="1">
      <alignment horizontal="center"/>
      <protection/>
    </xf>
    <xf numFmtId="3" fontId="10" fillId="0" borderId="0" xfId="18" applyNumberFormat="1" applyFont="1" applyAlignment="1">
      <alignment/>
      <protection/>
    </xf>
    <xf numFmtId="3" fontId="0" fillId="0" borderId="0" xfId="18" applyNumberFormat="1" applyAlignment="1">
      <alignment/>
      <protection/>
    </xf>
    <xf numFmtId="167" fontId="0" fillId="0" borderId="0" xfId="18" applyNumberFormat="1" applyFont="1" applyAlignment="1">
      <alignment/>
      <protection/>
    </xf>
    <xf numFmtId="167" fontId="10" fillId="0" borderId="0" xfId="18" applyNumberFormat="1" applyFont="1" applyAlignment="1">
      <alignment horizontal="center"/>
      <protection/>
    </xf>
    <xf numFmtId="167" fontId="10" fillId="2" borderId="2" xfId="18" applyNumberFormat="1" applyFont="1" applyFill="1" applyAlignment="1">
      <alignment horizontal="center"/>
      <protection/>
    </xf>
    <xf numFmtId="167" fontId="10" fillId="2" borderId="17" xfId="18" applyNumberFormat="1" applyFont="1" applyFill="1" applyBorder="1" applyAlignment="1">
      <alignment horizontal="center"/>
      <protection/>
    </xf>
    <xf numFmtId="167" fontId="11" fillId="0" borderId="6" xfId="18" applyNumberFormat="1" applyFont="1" applyBorder="1" applyAlignment="1">
      <alignment horizontal="center"/>
      <protection/>
    </xf>
    <xf numFmtId="167" fontId="0" fillId="0" borderId="5" xfId="18" applyNumberFormat="1" applyFont="1" applyAlignment="1">
      <alignment horizontal="center"/>
      <protection/>
    </xf>
    <xf numFmtId="167" fontId="0" fillId="0" borderId="2" xfId="18" applyNumberFormat="1" applyFont="1" applyAlignment="1">
      <alignment horizontal="center"/>
      <protection/>
    </xf>
    <xf numFmtId="167" fontId="10" fillId="2" borderId="9" xfId="18" applyNumberFormat="1" applyFont="1" applyFill="1" applyBorder="1" applyAlignment="1">
      <alignment horizontal="center"/>
      <protection/>
    </xf>
    <xf numFmtId="167" fontId="0" fillId="0" borderId="6" xfId="18" applyNumberFormat="1" applyFont="1" applyBorder="1" applyAlignment="1">
      <alignment horizontal="center"/>
      <protection/>
    </xf>
    <xf numFmtId="167" fontId="0" fillId="0" borderId="3" xfId="18" applyNumberFormat="1" applyFont="1" applyBorder="1" applyAlignment="1">
      <alignment horizontal="center"/>
      <protection/>
    </xf>
    <xf numFmtId="167" fontId="10" fillId="0" borderId="0" xfId="18" applyNumberFormat="1" applyFont="1" applyAlignment="1">
      <alignment/>
      <protection/>
    </xf>
    <xf numFmtId="167" fontId="0" fillId="0" borderId="0" xfId="18" applyNumberFormat="1" applyAlignment="1">
      <alignment/>
      <protection/>
    </xf>
    <xf numFmtId="3" fontId="0" fillId="0" borderId="0" xfId="17" applyNumberFormat="1" applyFont="1" applyAlignment="1">
      <alignment/>
      <protection/>
    </xf>
    <xf numFmtId="3" fontId="10" fillId="2" borderId="2" xfId="17" applyNumberFormat="1" applyFont="1" applyFill="1" applyAlignment="1">
      <alignment horizontal="center"/>
      <protection/>
    </xf>
    <xf numFmtId="3" fontId="10" fillId="2" borderId="5" xfId="17" applyNumberFormat="1" applyFont="1" applyFill="1" applyAlignment="1">
      <alignment horizontal="center"/>
      <protection/>
    </xf>
    <xf numFmtId="3" fontId="11" fillId="0" borderId="2" xfId="17" applyNumberFormat="1" applyFont="1" applyAlignment="1">
      <alignment horizontal="center"/>
      <protection/>
    </xf>
    <xf numFmtId="3" fontId="0" fillId="0" borderId="5" xfId="17" applyNumberFormat="1" applyFont="1" applyAlignment="1">
      <alignment horizontal="center"/>
      <protection/>
    </xf>
    <xf numFmtId="3" fontId="0" fillId="0" borderId="2" xfId="17" applyNumberFormat="1" applyFont="1" applyAlignment="1">
      <alignment horizontal="center"/>
      <protection/>
    </xf>
    <xf numFmtId="3" fontId="10" fillId="2" borderId="8" xfId="17" applyNumberFormat="1" applyFont="1" applyFill="1" applyBorder="1" applyAlignment="1">
      <alignment horizontal="center"/>
      <protection/>
    </xf>
    <xf numFmtId="3" fontId="0" fillId="0" borderId="5" xfId="17" applyNumberFormat="1" applyFont="1" applyBorder="1" applyAlignment="1">
      <alignment horizontal="center"/>
      <protection/>
    </xf>
    <xf numFmtId="3" fontId="0" fillId="0" borderId="5" xfId="17" applyNumberFormat="1" applyBorder="1">
      <alignment/>
      <protection/>
    </xf>
    <xf numFmtId="3" fontId="10" fillId="2" borderId="10" xfId="17" applyNumberFormat="1" applyFont="1" applyFill="1" applyBorder="1" applyAlignment="1">
      <alignment horizontal="center"/>
      <protection/>
    </xf>
    <xf numFmtId="3" fontId="10" fillId="0" borderId="13" xfId="17" applyNumberFormat="1" applyFont="1" applyAlignment="1">
      <alignment horizontal="center"/>
      <protection/>
    </xf>
    <xf numFmtId="3" fontId="10" fillId="0" borderId="0" xfId="17" applyNumberFormat="1" applyFont="1" applyAlignment="1">
      <alignment horizontal="center"/>
      <protection/>
    </xf>
    <xf numFmtId="3" fontId="0" fillId="0" borderId="0" xfId="17" applyNumberFormat="1" applyAlignment="1">
      <alignment/>
      <protection/>
    </xf>
    <xf numFmtId="167" fontId="0" fillId="0" borderId="0" xfId="17" applyNumberFormat="1" applyFont="1" applyAlignment="1">
      <alignment/>
      <protection/>
    </xf>
    <xf numFmtId="167" fontId="10" fillId="0" borderId="0" xfId="17" applyNumberFormat="1" applyFont="1" applyAlignment="1">
      <alignment horizontal="centerContinuous"/>
      <protection/>
    </xf>
    <xf numFmtId="167" fontId="10" fillId="2" borderId="2" xfId="17" applyNumberFormat="1" applyFont="1" applyFill="1" applyAlignment="1">
      <alignment horizontal="center"/>
      <protection/>
    </xf>
    <xf numFmtId="167" fontId="10" fillId="2" borderId="3" xfId="17" applyNumberFormat="1" applyFont="1" applyFill="1" applyBorder="1" applyAlignment="1">
      <alignment horizontal="center"/>
      <protection/>
    </xf>
    <xf numFmtId="167" fontId="10" fillId="2" borderId="5" xfId="17" applyNumberFormat="1" applyFont="1" applyFill="1" applyAlignment="1">
      <alignment horizontal="center"/>
      <protection/>
    </xf>
    <xf numFmtId="167" fontId="11" fillId="0" borderId="2" xfId="17" applyNumberFormat="1" applyFont="1" applyAlignment="1">
      <alignment horizontal="center"/>
      <protection/>
    </xf>
    <xf numFmtId="167" fontId="11" fillId="0" borderId="3" xfId="17" applyNumberFormat="1" applyFont="1" applyBorder="1" applyAlignment="1">
      <alignment horizontal="center"/>
      <protection/>
    </xf>
    <xf numFmtId="167" fontId="0" fillId="0" borderId="5" xfId="17" applyNumberFormat="1" applyFont="1" applyAlignment="1">
      <alignment horizontal="center"/>
      <protection/>
    </xf>
    <xf numFmtId="167" fontId="0" fillId="0" borderId="6" xfId="17" applyNumberFormat="1" applyFont="1" applyBorder="1" applyAlignment="1">
      <alignment horizontal="center"/>
      <protection/>
    </xf>
    <xf numFmtId="167" fontId="0" fillId="0" borderId="2" xfId="17" applyNumberFormat="1" applyFont="1" applyAlignment="1">
      <alignment horizontal="center"/>
      <protection/>
    </xf>
    <xf numFmtId="167" fontId="0" fillId="0" borderId="3" xfId="17" applyNumberFormat="1" applyFont="1" applyBorder="1" applyAlignment="1">
      <alignment horizontal="center"/>
      <protection/>
    </xf>
    <xf numFmtId="167" fontId="10" fillId="2" borderId="8" xfId="17" applyNumberFormat="1" applyFont="1" applyFill="1" applyBorder="1" applyAlignment="1">
      <alignment horizontal="center"/>
      <protection/>
    </xf>
    <xf numFmtId="167" fontId="10" fillId="2" borderId="9" xfId="17" applyNumberFormat="1" applyFont="1" applyFill="1" applyBorder="1" applyAlignment="1">
      <alignment horizontal="center"/>
      <protection/>
    </xf>
    <xf numFmtId="167" fontId="0" fillId="0" borderId="5" xfId="17" applyNumberFormat="1" applyFont="1" applyBorder="1" applyAlignment="1">
      <alignment horizontal="center"/>
      <protection/>
    </xf>
    <xf numFmtId="167" fontId="0" fillId="0" borderId="5" xfId="17" applyNumberFormat="1" applyBorder="1">
      <alignment/>
      <protection/>
    </xf>
    <xf numFmtId="167" fontId="0" fillId="0" borderId="6" xfId="17" applyNumberFormat="1" applyBorder="1">
      <alignment/>
      <protection/>
    </xf>
    <xf numFmtId="167" fontId="10" fillId="2" borderId="10" xfId="17" applyNumberFormat="1" applyFont="1" applyFill="1" applyBorder="1" applyAlignment="1">
      <alignment horizontal="center"/>
      <protection/>
    </xf>
    <xf numFmtId="167" fontId="10" fillId="0" borderId="13" xfId="17" applyNumberFormat="1" applyFont="1" applyAlignment="1">
      <alignment horizontal="center"/>
      <protection/>
    </xf>
    <xf numFmtId="167" fontId="10" fillId="0" borderId="0" xfId="17" applyNumberFormat="1" applyFont="1" applyAlignment="1">
      <alignment horizontal="center"/>
      <protection/>
    </xf>
    <xf numFmtId="167" fontId="0" fillId="0" borderId="0" xfId="17" applyNumberFormat="1" applyAlignment="1">
      <alignment/>
      <protection/>
    </xf>
    <xf numFmtId="167" fontId="10" fillId="2" borderId="3" xfId="17" applyNumberFormat="1" applyFont="1" applyFill="1" applyBorder="1" applyAlignment="1">
      <alignment/>
      <protection/>
    </xf>
    <xf numFmtId="167" fontId="10" fillId="2" borderId="6" xfId="17" applyNumberFormat="1" applyFont="1" applyFill="1" applyBorder="1" applyAlignment="1">
      <alignment/>
      <protection/>
    </xf>
    <xf numFmtId="166" fontId="10" fillId="0" borderId="18" xfId="18" applyNumberFormat="1" applyFont="1" applyBorder="1" applyAlignment="1">
      <alignment/>
      <protection/>
    </xf>
    <xf numFmtId="166" fontId="10" fillId="0" borderId="0" xfId="17" applyNumberFormat="1" applyFont="1" applyBorder="1" applyAlignment="1">
      <alignment/>
      <protection/>
    </xf>
    <xf numFmtId="167" fontId="10" fillId="0" borderId="0" xfId="17" applyNumberFormat="1" applyFont="1" applyBorder="1" applyAlignment="1">
      <alignment horizontal="center"/>
      <protection/>
    </xf>
    <xf numFmtId="0" fontId="10" fillId="0" borderId="0" xfId="17" applyNumberFormat="1" applyFont="1" applyBorder="1" applyAlignment="1">
      <alignment horizontal="center"/>
      <protection/>
    </xf>
    <xf numFmtId="3" fontId="10" fillId="0" borderId="0" xfId="17" applyNumberFormat="1" applyFont="1" applyBorder="1" applyAlignment="1">
      <alignment horizontal="center"/>
      <protection/>
    </xf>
    <xf numFmtId="4" fontId="10" fillId="0" borderId="0" xfId="17" applyNumberFormat="1" applyFont="1" applyBorder="1" applyAlignment="1">
      <alignment horizontal="center"/>
      <protection/>
    </xf>
    <xf numFmtId="164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10" fillId="2" borderId="11" xfId="18" applyNumberFormat="1" applyFont="1" applyFill="1" applyBorder="1" applyAlignment="1">
      <alignment horizontal="center"/>
      <protection/>
    </xf>
    <xf numFmtId="3" fontId="10" fillId="2" borderId="19" xfId="18" applyNumberFormat="1" applyFont="1" applyFill="1" applyBorder="1" applyAlignment="1">
      <alignment horizontal="center"/>
      <protection/>
    </xf>
    <xf numFmtId="166" fontId="13" fillId="0" borderId="0" xfId="18" applyNumberFormat="1" applyFont="1" applyAlignment="1">
      <alignment/>
      <protection/>
    </xf>
    <xf numFmtId="166" fontId="13" fillId="0" borderId="0" xfId="0" applyNumberFormat="1" applyFont="1" applyAlignment="1">
      <alignment/>
    </xf>
    <xf numFmtId="166" fontId="10" fillId="2" borderId="7" xfId="18" applyNumberFormat="1" applyFont="1" applyFill="1" applyBorder="1" applyAlignment="1">
      <alignment horizontal="center"/>
      <protection/>
    </xf>
    <xf numFmtId="0" fontId="10" fillId="2" borderId="8" xfId="18" applyNumberFormat="1" applyFont="1" applyFill="1" applyBorder="1" applyAlignment="1">
      <alignment horizontal="center"/>
      <protection/>
    </xf>
    <xf numFmtId="167" fontId="10" fillId="2" borderId="20" xfId="18" applyNumberFormat="1" applyFont="1" applyFill="1" applyBorder="1" applyAlignment="1">
      <alignment horizontal="center"/>
      <protection/>
    </xf>
    <xf numFmtId="9" fontId="10" fillId="3" borderId="10" xfId="18" applyNumberFormat="1" applyFont="1" applyFill="1" applyBorder="1" applyAlignment="1">
      <alignment horizontal="center"/>
      <protection/>
    </xf>
    <xf numFmtId="9" fontId="10" fillId="3" borderId="21" xfId="18" applyNumberFormat="1" applyFont="1" applyFill="1" applyBorder="1" applyAlignment="1">
      <alignment horizontal="center"/>
      <protection/>
    </xf>
    <xf numFmtId="167" fontId="10" fillId="2" borderId="20" xfId="17" applyNumberFormat="1" applyFont="1" applyFill="1" applyBorder="1" applyAlignment="1">
      <alignment horizontal="center"/>
      <protection/>
    </xf>
    <xf numFmtId="3" fontId="10" fillId="2" borderId="11" xfId="17" applyNumberFormat="1" applyFont="1" applyFill="1" applyBorder="1" applyAlignment="1">
      <alignment horizontal="center"/>
      <protection/>
    </xf>
    <xf numFmtId="9" fontId="10" fillId="3" borderId="10" xfId="17" applyNumberFormat="1" applyFont="1" applyFill="1" applyBorder="1" applyAlignment="1">
      <alignment horizontal="center"/>
      <protection/>
    </xf>
  </cellXfs>
  <cellStyles count="6">
    <cellStyle name="Normal" xfId="0"/>
    <cellStyle name="Followed Hyperlink" xfId="15"/>
    <cellStyle name="Hyperlink" xfId="16"/>
    <cellStyle name="Normal_SLOT STATS" xfId="17"/>
    <cellStyle name="Normal_TABLE STATS" xfId="18"/>
    <cellStyle name="Normal_YTD TAXES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0"/>
  <sheetViews>
    <sheetView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1.66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221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14"/>
      <c r="L1" s="214"/>
      <c r="M1" s="2"/>
      <c r="N1" s="2"/>
      <c r="O1" s="2"/>
      <c r="P1" s="2"/>
      <c r="Q1" s="2"/>
      <c r="R1" s="2"/>
    </row>
    <row r="2" spans="1:18" ht="18" customHeight="1">
      <c r="A2" s="4" t="s">
        <v>62</v>
      </c>
      <c r="B2" s="2"/>
      <c r="C2" s="2"/>
      <c r="D2" s="2"/>
      <c r="E2" s="2"/>
      <c r="F2" s="2"/>
      <c r="G2" s="2"/>
      <c r="H2" s="2"/>
      <c r="I2" s="2"/>
      <c r="J2" s="2"/>
      <c r="K2" s="214"/>
      <c r="L2" s="214"/>
      <c r="M2" s="2"/>
      <c r="N2" s="2"/>
      <c r="O2" s="2"/>
      <c r="P2" s="2"/>
      <c r="Q2" s="2"/>
      <c r="R2" s="2"/>
    </row>
    <row r="3" spans="1:18" ht="18">
      <c r="A3" s="1" t="s">
        <v>70</v>
      </c>
      <c r="B3" s="2"/>
      <c r="C3" s="2"/>
      <c r="D3" s="2"/>
      <c r="E3" s="2"/>
      <c r="F3" s="2"/>
      <c r="G3" s="2"/>
      <c r="H3" s="2"/>
      <c r="I3" s="2"/>
      <c r="J3" s="2"/>
      <c r="K3" s="214"/>
      <c r="L3" s="214"/>
      <c r="M3" s="2"/>
      <c r="N3" s="2"/>
      <c r="O3" s="2"/>
      <c r="P3" s="2"/>
      <c r="Q3" s="2"/>
      <c r="R3" s="2"/>
    </row>
    <row r="4" spans="1:18" ht="15">
      <c r="A4" s="5" t="s">
        <v>71</v>
      </c>
      <c r="B4" s="2"/>
      <c r="C4" s="2"/>
      <c r="D4" s="2"/>
      <c r="E4" s="2"/>
      <c r="F4" s="2"/>
      <c r="G4" s="2"/>
      <c r="H4" s="2"/>
      <c r="I4" s="2"/>
      <c r="J4" s="2"/>
      <c r="K4" s="214"/>
      <c r="L4" s="214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6" t="s">
        <v>1</v>
      </c>
      <c r="J5" s="6" t="s">
        <v>1</v>
      </c>
      <c r="K5" s="214"/>
      <c r="L5" s="214"/>
      <c r="M5" s="2"/>
      <c r="N5" s="2"/>
      <c r="O5" s="2"/>
      <c r="P5" s="2"/>
      <c r="Q5" s="2"/>
      <c r="R5" s="2"/>
    </row>
    <row r="6" spans="1:18" ht="16.5" thickTop="1">
      <c r="A6" s="7"/>
      <c r="B6" s="8" t="s">
        <v>2</v>
      </c>
      <c r="C6" s="8" t="s">
        <v>1</v>
      </c>
      <c r="D6" s="8" t="s">
        <v>3</v>
      </c>
      <c r="E6" s="9"/>
      <c r="F6" s="8" t="s">
        <v>1</v>
      </c>
      <c r="G6" s="8" t="s">
        <v>3</v>
      </c>
      <c r="H6" s="9"/>
      <c r="I6" s="8" t="s">
        <v>4</v>
      </c>
      <c r="J6" s="8" t="s">
        <v>4</v>
      </c>
      <c r="K6" s="215" t="s">
        <v>1</v>
      </c>
      <c r="L6" s="215" t="s">
        <v>3</v>
      </c>
      <c r="M6" s="10"/>
      <c r="N6" s="11"/>
      <c r="R6" s="2"/>
    </row>
    <row r="7" spans="1:18" ht="16.5" thickBot="1">
      <c r="A7" s="12" t="s">
        <v>5</v>
      </c>
      <c r="B7" s="13" t="s">
        <v>6</v>
      </c>
      <c r="C7" s="13" t="s">
        <v>7</v>
      </c>
      <c r="D7" s="13" t="s">
        <v>7</v>
      </c>
      <c r="E7" s="14" t="s">
        <v>8</v>
      </c>
      <c r="F7" s="13" t="s">
        <v>9</v>
      </c>
      <c r="G7" s="13" t="s">
        <v>9</v>
      </c>
      <c r="H7" s="14" t="s">
        <v>8</v>
      </c>
      <c r="I7" s="13" t="s">
        <v>10</v>
      </c>
      <c r="J7" s="13" t="s">
        <v>11</v>
      </c>
      <c r="K7" s="216" t="s">
        <v>12</v>
      </c>
      <c r="L7" s="216" t="s">
        <v>12</v>
      </c>
      <c r="M7" s="15" t="s">
        <v>8</v>
      </c>
      <c r="N7" s="11"/>
      <c r="R7" s="2"/>
    </row>
    <row r="8" spans="1:18" ht="16.5" thickTop="1">
      <c r="A8" s="16"/>
      <c r="B8" s="17"/>
      <c r="C8" s="17"/>
      <c r="D8" s="17"/>
      <c r="E8" s="18"/>
      <c r="F8" s="17"/>
      <c r="G8" s="17"/>
      <c r="H8" s="18"/>
      <c r="I8" s="17"/>
      <c r="J8" s="17"/>
      <c r="K8" s="217"/>
      <c r="L8" s="217"/>
      <c r="M8" s="19"/>
      <c r="N8" s="11"/>
      <c r="R8" s="2"/>
    </row>
    <row r="9" spans="1:18" ht="15.75">
      <c r="A9" s="20" t="s">
        <v>13</v>
      </c>
      <c r="B9" s="21">
        <f>DATE(2011,7,1)</f>
        <v>40725</v>
      </c>
      <c r="C9" s="22">
        <v>473471</v>
      </c>
      <c r="D9" s="23">
        <v>469083</v>
      </c>
      <c r="E9" s="24">
        <f>(+C9-D9)/D9</f>
        <v>0.009354421285785244</v>
      </c>
      <c r="F9" s="22">
        <f>+C9-250515</f>
        <v>222956</v>
      </c>
      <c r="G9" s="22">
        <f>+D9-242053</f>
        <v>227030</v>
      </c>
      <c r="H9" s="24">
        <f>(+F9-G9)/G9</f>
        <v>-0.017944765009029643</v>
      </c>
      <c r="I9" s="25">
        <f>K9/C9</f>
        <v>35.32398632651208</v>
      </c>
      <c r="J9" s="25">
        <f>K9/F9</f>
        <v>75.01427694253574</v>
      </c>
      <c r="K9" s="22">
        <v>16724883.13</v>
      </c>
      <c r="L9" s="22">
        <v>16556886.7</v>
      </c>
      <c r="M9" s="26">
        <f>(+K9-L9)/L9</f>
        <v>0.010146619533248457</v>
      </c>
      <c r="N9" s="11"/>
      <c r="R9" s="2"/>
    </row>
    <row r="10" spans="1:18" ht="15.75">
      <c r="A10" s="20"/>
      <c r="B10" s="21">
        <f>DATE(2011,8,1)</f>
        <v>40756</v>
      </c>
      <c r="C10" s="22">
        <v>436324</v>
      </c>
      <c r="D10" s="23">
        <v>448756</v>
      </c>
      <c r="E10" s="24">
        <f>(+C10-D10)/D10</f>
        <v>-0.027703250764335184</v>
      </c>
      <c r="F10" s="22">
        <f>+C10-229479</f>
        <v>206845</v>
      </c>
      <c r="G10" s="22">
        <f>+D10-230652</f>
        <v>218104</v>
      </c>
      <c r="H10" s="24">
        <f>(+F10-G10)/G10</f>
        <v>-0.05162216190441257</v>
      </c>
      <c r="I10" s="25">
        <f>K10/C10</f>
        <v>36.93917325198706</v>
      </c>
      <c r="J10" s="25">
        <f>K10/F10</f>
        <v>77.92041301457613</v>
      </c>
      <c r="K10" s="22">
        <v>16117447.83</v>
      </c>
      <c r="L10" s="22">
        <v>15422343.1</v>
      </c>
      <c r="M10" s="26">
        <f>(+K10-L10)/L10</f>
        <v>0.045071279084693716</v>
      </c>
      <c r="N10" s="11"/>
      <c r="R10" s="2"/>
    </row>
    <row r="11" spans="1:18" ht="15.75">
      <c r="A11" s="20"/>
      <c r="B11" s="21">
        <f>DATE(2011,9,1)</f>
        <v>40787</v>
      </c>
      <c r="C11" s="22">
        <v>429086</v>
      </c>
      <c r="D11" s="23">
        <v>444138</v>
      </c>
      <c r="E11" s="24">
        <f>(+C11-D11)/D11</f>
        <v>-0.03389036740832804</v>
      </c>
      <c r="F11" s="22">
        <f>+C11-225907</f>
        <v>203179</v>
      </c>
      <c r="G11" s="22">
        <f>+D11-230380</f>
        <v>213758</v>
      </c>
      <c r="H11" s="24">
        <f>(+F11-G11)/G11</f>
        <v>-0.04949054538309677</v>
      </c>
      <c r="I11" s="25">
        <f>K11/C11</f>
        <v>36.73410966566143</v>
      </c>
      <c r="J11" s="25">
        <f>K11/F11</f>
        <v>77.57736862569459</v>
      </c>
      <c r="K11" s="22">
        <v>15762092.18</v>
      </c>
      <c r="L11" s="22">
        <v>15585279.52</v>
      </c>
      <c r="M11" s="26">
        <f>(+K11-L11)/L11</f>
        <v>0.011344850105068898</v>
      </c>
      <c r="N11" s="11"/>
      <c r="R11" s="2"/>
    </row>
    <row r="12" spans="1:18" ht="15.75">
      <c r="A12" s="20"/>
      <c r="B12" s="21">
        <f>DATE(2011,10,1)</f>
        <v>40817</v>
      </c>
      <c r="C12" s="22">
        <v>425550</v>
      </c>
      <c r="D12" s="23">
        <v>456903</v>
      </c>
      <c r="E12" s="24">
        <f>(+C12-D12)/D12</f>
        <v>-0.0686206919192914</v>
      </c>
      <c r="F12" s="22">
        <f>+C12-224584</f>
        <v>200966</v>
      </c>
      <c r="G12" s="22">
        <f>+D12-240004</f>
        <v>216899</v>
      </c>
      <c r="H12" s="24">
        <f>(+F12-G12)/G12</f>
        <v>-0.07345815333404027</v>
      </c>
      <c r="I12" s="25">
        <f>K12/C12</f>
        <v>37.09732938550111</v>
      </c>
      <c r="J12" s="25">
        <f>K12/F12</f>
        <v>78.55442472856105</v>
      </c>
      <c r="K12" s="22">
        <v>15786768.52</v>
      </c>
      <c r="L12" s="22">
        <v>16176648.04</v>
      </c>
      <c r="M12" s="26">
        <f>(+K12-L12)/L12</f>
        <v>-0.02410137866855633</v>
      </c>
      <c r="N12" s="11"/>
      <c r="R12" s="2"/>
    </row>
    <row r="13" spans="1:18" ht="16.5" thickBot="1">
      <c r="A13" s="20"/>
      <c r="B13" s="21"/>
      <c r="C13" s="22"/>
      <c r="D13" s="22"/>
      <c r="E13" s="24"/>
      <c r="F13" s="22"/>
      <c r="G13" s="22"/>
      <c r="H13" s="24"/>
      <c r="I13" s="25"/>
      <c r="J13" s="25"/>
      <c r="K13" s="22"/>
      <c r="L13" s="22"/>
      <c r="M13" s="26"/>
      <c r="N13" s="11"/>
      <c r="R13" s="2"/>
    </row>
    <row r="14" spans="1:18" ht="17.25" thickBot="1" thickTop="1">
      <c r="A14" s="27" t="s">
        <v>14</v>
      </c>
      <c r="B14" s="28"/>
      <c r="C14" s="29">
        <f>SUM(C9:C13)</f>
        <v>1764431</v>
      </c>
      <c r="D14" s="29">
        <f>SUM(D9:D13)</f>
        <v>1818880</v>
      </c>
      <c r="E14" s="30">
        <f>(+C14-D14)/D14</f>
        <v>-0.02993545478536242</v>
      </c>
      <c r="F14" s="29">
        <f>SUM(F9:F13)</f>
        <v>833946</v>
      </c>
      <c r="G14" s="29">
        <f>SUM(G9:G13)</f>
        <v>875791</v>
      </c>
      <c r="H14" s="31">
        <f>(+F14-G14)/G14</f>
        <v>-0.04777966432630616</v>
      </c>
      <c r="I14" s="32">
        <f>K14/C14</f>
        <v>36.4940264935268</v>
      </c>
      <c r="J14" s="32">
        <f>K14/F14</f>
        <v>77.21266324198449</v>
      </c>
      <c r="K14" s="29">
        <f>SUM(K9:K13)</f>
        <v>64391191.66</v>
      </c>
      <c r="L14" s="29">
        <f>SUM(L9:L13)</f>
        <v>63741157.35999999</v>
      </c>
      <c r="M14" s="33">
        <f>(+K14-L14)/L14</f>
        <v>0.010198031019874857</v>
      </c>
      <c r="N14" s="11"/>
      <c r="R14" s="2"/>
    </row>
    <row r="15" spans="1:18" ht="16.5" thickTop="1">
      <c r="A15" s="16"/>
      <c r="B15" s="17"/>
      <c r="C15" s="17"/>
      <c r="D15" s="17"/>
      <c r="E15" s="18"/>
      <c r="F15" s="17"/>
      <c r="G15" s="17"/>
      <c r="H15" s="18"/>
      <c r="I15" s="17"/>
      <c r="J15" s="17"/>
      <c r="K15" s="217"/>
      <c r="L15" s="217"/>
      <c r="M15" s="19"/>
      <c r="N15" s="11"/>
      <c r="R15" s="2"/>
    </row>
    <row r="16" spans="1:18" ht="15.75">
      <c r="A16" s="20" t="s">
        <v>15</v>
      </c>
      <c r="B16" s="21">
        <f>DATE(2011,7,1)</f>
        <v>40725</v>
      </c>
      <c r="C16" s="22">
        <v>205074</v>
      </c>
      <c r="D16" s="22">
        <v>204695</v>
      </c>
      <c r="E16" s="24">
        <f>(+C16-D16)/D16</f>
        <v>0.0018515352109235693</v>
      </c>
      <c r="F16" s="22">
        <f>+C16-101149</f>
        <v>103925</v>
      </c>
      <c r="G16" s="22">
        <f>+D16-94751</f>
        <v>109944</v>
      </c>
      <c r="H16" s="24">
        <f>(+F16-G16)/G16</f>
        <v>-0.05474605253583643</v>
      </c>
      <c r="I16" s="25">
        <f>K16/C16</f>
        <v>36.70412738816232</v>
      </c>
      <c r="J16" s="25">
        <f>K16/F16</f>
        <v>72.42782987731538</v>
      </c>
      <c r="K16" s="22">
        <v>7527062.22</v>
      </c>
      <c r="L16" s="22">
        <v>7589105.09</v>
      </c>
      <c r="M16" s="26">
        <f>(+K16-L16)/L16</f>
        <v>-0.008175255087948731</v>
      </c>
      <c r="N16" s="11"/>
      <c r="R16" s="2"/>
    </row>
    <row r="17" spans="1:18" ht="15.75">
      <c r="A17" s="20"/>
      <c r="B17" s="21">
        <f>DATE(2011,8,1)</f>
        <v>40756</v>
      </c>
      <c r="C17" s="22">
        <v>186632</v>
      </c>
      <c r="D17" s="22">
        <v>206163</v>
      </c>
      <c r="E17" s="24">
        <f>(+C17-D17)/D17</f>
        <v>-0.09473571882442533</v>
      </c>
      <c r="F17" s="22">
        <f>+C17-90725</f>
        <v>95907</v>
      </c>
      <c r="G17" s="22">
        <f>+D17-95050</f>
        <v>111113</v>
      </c>
      <c r="H17" s="24">
        <f>(+F17-G17)/G17</f>
        <v>-0.13685167352155014</v>
      </c>
      <c r="I17" s="25">
        <f>K17/C17</f>
        <v>37.21124405246689</v>
      </c>
      <c r="J17" s="25">
        <f>K17/F17</f>
        <v>72.41190841127343</v>
      </c>
      <c r="K17" s="22">
        <v>6944808.9</v>
      </c>
      <c r="L17" s="22">
        <v>6879032.27</v>
      </c>
      <c r="M17" s="26">
        <f>(+K17-L17)/L17</f>
        <v>0.009561901648122494</v>
      </c>
      <c r="N17" s="11"/>
      <c r="R17" s="2"/>
    </row>
    <row r="18" spans="1:18" ht="15.75">
      <c r="A18" s="20"/>
      <c r="B18" s="21">
        <f>DATE(2011,9,1)</f>
        <v>40787</v>
      </c>
      <c r="C18" s="22">
        <v>178911</v>
      </c>
      <c r="D18" s="22">
        <v>191650</v>
      </c>
      <c r="E18" s="24">
        <f>(+C18-D18)/D18</f>
        <v>-0.06647012783720324</v>
      </c>
      <c r="F18" s="22">
        <f>+C18-86413</f>
        <v>92498</v>
      </c>
      <c r="G18" s="22">
        <f>+D18-88765</f>
        <v>102885</v>
      </c>
      <c r="H18" s="24">
        <f>(+F18-G18)/G18</f>
        <v>-0.10095737959858093</v>
      </c>
      <c r="I18" s="25">
        <f>K18/C18</f>
        <v>38.38859589404788</v>
      </c>
      <c r="J18" s="25">
        <f>K18/F18</f>
        <v>74.25179009275877</v>
      </c>
      <c r="K18" s="22">
        <v>6868142.08</v>
      </c>
      <c r="L18" s="22">
        <v>6851980.91</v>
      </c>
      <c r="M18" s="26">
        <f>(+K18-L18)/L18</f>
        <v>0.002358612817559634</v>
      </c>
      <c r="N18" s="11"/>
      <c r="R18" s="2"/>
    </row>
    <row r="19" spans="1:18" ht="15.75">
      <c r="A19" s="20"/>
      <c r="B19" s="21">
        <f>DATE(2011,10,1)</f>
        <v>40817</v>
      </c>
      <c r="C19" s="22">
        <v>175552</v>
      </c>
      <c r="D19" s="22">
        <v>196993</v>
      </c>
      <c r="E19" s="24">
        <f>(+C19-D19)/D19</f>
        <v>-0.10884143091378881</v>
      </c>
      <c r="F19" s="22">
        <f>+C19-85872</f>
        <v>89680</v>
      </c>
      <c r="G19" s="22">
        <f>+D19-91377</f>
        <v>105616</v>
      </c>
      <c r="H19" s="24">
        <f>(+F19-G19)/G19</f>
        <v>-0.150886229359188</v>
      </c>
      <c r="I19" s="25">
        <f>K19/C19</f>
        <v>37.86198909724754</v>
      </c>
      <c r="J19" s="25">
        <f>K19/F19</f>
        <v>74.11627910347904</v>
      </c>
      <c r="K19" s="22">
        <v>6646747.91</v>
      </c>
      <c r="L19" s="22">
        <v>7330191.67</v>
      </c>
      <c r="M19" s="26">
        <f>(+K19-L19)/L19</f>
        <v>-0.09323681982247536</v>
      </c>
      <c r="N19" s="11"/>
      <c r="R19" s="2"/>
    </row>
    <row r="20" spans="1:18" ht="15.75" customHeight="1" thickBot="1">
      <c r="A20" s="20"/>
      <c r="B20" s="21"/>
      <c r="C20" s="22"/>
      <c r="D20" s="22"/>
      <c r="E20" s="24"/>
      <c r="F20" s="22"/>
      <c r="G20" s="22"/>
      <c r="H20" s="24"/>
      <c r="I20" s="25"/>
      <c r="J20" s="25"/>
      <c r="K20" s="22"/>
      <c r="L20" s="22"/>
      <c r="M20" s="26"/>
      <c r="N20" s="11"/>
      <c r="R20" s="2"/>
    </row>
    <row r="21" spans="1:18" ht="15.75" customHeight="1" thickBot="1" thickTop="1">
      <c r="A21" s="27" t="s">
        <v>14</v>
      </c>
      <c r="B21" s="28"/>
      <c r="C21" s="29">
        <f>SUM(C16:C20)</f>
        <v>746169</v>
      </c>
      <c r="D21" s="29">
        <f>SUM(D16:D20)</f>
        <v>799501</v>
      </c>
      <c r="E21" s="30">
        <f>(+C21-D21)/D21</f>
        <v>-0.066706608246894</v>
      </c>
      <c r="F21" s="29">
        <f>SUM(F16:F20)</f>
        <v>382010</v>
      </c>
      <c r="G21" s="29">
        <f>SUM(G16:G20)</f>
        <v>429558</v>
      </c>
      <c r="H21" s="31">
        <f>(+F21-G21)/G21</f>
        <v>-0.1106905237476662</v>
      </c>
      <c r="I21" s="32">
        <f>K21/C21</f>
        <v>37.50726860804993</v>
      </c>
      <c r="J21" s="32">
        <f>K21/F21</f>
        <v>73.26185468966781</v>
      </c>
      <c r="K21" s="29">
        <f>SUM(K16:K20)</f>
        <v>27986761.110000003</v>
      </c>
      <c r="L21" s="29">
        <f>SUM(L16:L20)</f>
        <v>28650309.939999998</v>
      </c>
      <c r="M21" s="33">
        <f>(+K21-L21)/L21</f>
        <v>-0.023160267075281578</v>
      </c>
      <c r="N21" s="11"/>
      <c r="R21" s="2"/>
    </row>
    <row r="22" spans="1:18" ht="15.75" customHeight="1" thickTop="1">
      <c r="A22" s="34"/>
      <c r="B22" s="35"/>
      <c r="C22" s="36"/>
      <c r="D22" s="36"/>
      <c r="E22" s="30"/>
      <c r="F22" s="36"/>
      <c r="G22" s="36"/>
      <c r="H22" s="30"/>
      <c r="I22" s="37"/>
      <c r="J22" s="37"/>
      <c r="K22" s="36"/>
      <c r="L22" s="36"/>
      <c r="M22" s="38"/>
      <c r="N22" s="11"/>
      <c r="R22" s="2"/>
    </row>
    <row r="23" spans="1:18" ht="15.75" customHeight="1">
      <c r="A23" s="20" t="s">
        <v>64</v>
      </c>
      <c r="B23" s="21">
        <f>DATE(2011,7,1)</f>
        <v>40725</v>
      </c>
      <c r="C23" s="22">
        <v>87027</v>
      </c>
      <c r="D23" s="22">
        <v>96940</v>
      </c>
      <c r="E23" s="24">
        <f>(+C23-D23)/D23</f>
        <v>-0.102259129358366</v>
      </c>
      <c r="F23" s="22">
        <f>+C23-47384</f>
        <v>39643</v>
      </c>
      <c r="G23" s="22">
        <f>+D23-53664</f>
        <v>43276</v>
      </c>
      <c r="H23" s="24">
        <f>(+F23-G23)/G23</f>
        <v>-0.08394953322857936</v>
      </c>
      <c r="I23" s="25">
        <f>K23/C23</f>
        <v>34.942594367265336</v>
      </c>
      <c r="J23" s="25">
        <f>K23/F23</f>
        <v>76.70835103296925</v>
      </c>
      <c r="K23" s="22">
        <v>3040949.16</v>
      </c>
      <c r="L23" s="22">
        <v>3190592.29</v>
      </c>
      <c r="M23" s="26">
        <f>(+K23-L23)/L23</f>
        <v>-0.04690136388438395</v>
      </c>
      <c r="N23" s="11"/>
      <c r="R23" s="2"/>
    </row>
    <row r="24" spans="1:18" ht="15.75" customHeight="1">
      <c r="A24" s="20"/>
      <c r="B24" s="21">
        <f>DATE(2011,8,1)</f>
        <v>40756</v>
      </c>
      <c r="C24" s="22">
        <v>74715</v>
      </c>
      <c r="D24" s="22">
        <v>82482</v>
      </c>
      <c r="E24" s="24">
        <f>(+C24-D24)/D24</f>
        <v>-0.09416599985451371</v>
      </c>
      <c r="F24" s="22">
        <f>+C24-41561</f>
        <v>33154</v>
      </c>
      <c r="G24" s="22">
        <f>+D24-45949</f>
        <v>36533</v>
      </c>
      <c r="H24" s="24">
        <f>(+F24-G24)/G24</f>
        <v>-0.09249171981496182</v>
      </c>
      <c r="I24" s="25">
        <f>K24/C24</f>
        <v>36.5194421468246</v>
      </c>
      <c r="J24" s="25">
        <f>K24/F24</f>
        <v>82.29927369246546</v>
      </c>
      <c r="K24" s="22">
        <v>2728550.12</v>
      </c>
      <c r="L24" s="22">
        <v>2829459.5</v>
      </c>
      <c r="M24" s="26">
        <f>(+K24-L24)/L24</f>
        <v>-0.035663836149625004</v>
      </c>
      <c r="N24" s="11"/>
      <c r="R24" s="2"/>
    </row>
    <row r="25" spans="1:18" ht="15.75" customHeight="1">
      <c r="A25" s="20"/>
      <c r="B25" s="21">
        <f>DATE(2011,9,1)</f>
        <v>40787</v>
      </c>
      <c r="C25" s="22">
        <v>80985</v>
      </c>
      <c r="D25" s="22">
        <v>86060</v>
      </c>
      <c r="E25" s="24">
        <f>(+C25-D25)/D25</f>
        <v>-0.05897048570764583</v>
      </c>
      <c r="F25" s="22">
        <f>+C25-44200</f>
        <v>36785</v>
      </c>
      <c r="G25" s="22">
        <f>+D25-47962</f>
        <v>38098</v>
      </c>
      <c r="H25" s="24">
        <f>(+F25-G25)/G25</f>
        <v>-0.03446375137802509</v>
      </c>
      <c r="I25" s="25">
        <f>K25/C25</f>
        <v>34.35373019695005</v>
      </c>
      <c r="J25" s="25">
        <f>K25/F25</f>
        <v>75.63237297811608</v>
      </c>
      <c r="K25" s="22">
        <v>2782136.84</v>
      </c>
      <c r="L25" s="22">
        <v>2857933.17</v>
      </c>
      <c r="M25" s="26">
        <f>(+K25-L25)/L25</f>
        <v>-0.02652137943449534</v>
      </c>
      <c r="N25" s="11"/>
      <c r="R25" s="2"/>
    </row>
    <row r="26" spans="1:18" ht="15.75" customHeight="1">
      <c r="A26" s="20"/>
      <c r="B26" s="21">
        <f>DATE(2011,10,1)</f>
        <v>40817</v>
      </c>
      <c r="C26" s="22">
        <v>75663</v>
      </c>
      <c r="D26" s="22">
        <v>82872</v>
      </c>
      <c r="E26" s="24">
        <f>(+C26-D26)/D26</f>
        <v>-0.08698957428323197</v>
      </c>
      <c r="F26" s="22">
        <f>+C26-42720</f>
        <v>32943</v>
      </c>
      <c r="G26" s="22">
        <f>+D26-45755</f>
        <v>37117</v>
      </c>
      <c r="H26" s="24">
        <f>(+F26-G26)/G26</f>
        <v>-0.11245520920333</v>
      </c>
      <c r="I26" s="25">
        <f>K26/C26</f>
        <v>36.98353448845538</v>
      </c>
      <c r="J26" s="25">
        <f>K26/F26</f>
        <v>84.94324044561819</v>
      </c>
      <c r="K26" s="22">
        <v>2798285.17</v>
      </c>
      <c r="L26" s="22">
        <v>2899112.13</v>
      </c>
      <c r="M26" s="26">
        <f>(+K26-L26)/L26</f>
        <v>-0.034778565118831734</v>
      </c>
      <c r="N26" s="11"/>
      <c r="R26" s="2"/>
    </row>
    <row r="27" spans="1:18" ht="15.75" customHeight="1" thickBot="1">
      <c r="A27" s="39"/>
      <c r="B27" s="21"/>
      <c r="C27" s="22"/>
      <c r="D27" s="22"/>
      <c r="E27" s="24"/>
      <c r="F27" s="22"/>
      <c r="G27" s="22"/>
      <c r="H27" s="24"/>
      <c r="I27" s="25"/>
      <c r="J27" s="25"/>
      <c r="K27" s="22"/>
      <c r="L27" s="22"/>
      <c r="M27" s="26"/>
      <c r="N27" s="11"/>
      <c r="R27" s="2"/>
    </row>
    <row r="28" spans="1:18" ht="15.75" customHeight="1" thickBot="1" thickTop="1">
      <c r="A28" s="40" t="s">
        <v>14</v>
      </c>
      <c r="B28" s="41"/>
      <c r="C28" s="42">
        <f>SUM(C23:C27)</f>
        <v>318390</v>
      </c>
      <c r="D28" s="42">
        <f>SUM(D23:D27)</f>
        <v>348354</v>
      </c>
      <c r="E28" s="43">
        <f>(+C28-D28)/D28</f>
        <v>-0.08601594929296061</v>
      </c>
      <c r="F28" s="42">
        <f>SUM(F23:F27)</f>
        <v>142525</v>
      </c>
      <c r="G28" s="42">
        <f>SUM(G23:G27)</f>
        <v>155024</v>
      </c>
      <c r="H28" s="44">
        <f>(+F28-G28)/G28</f>
        <v>-0.0806262256166787</v>
      </c>
      <c r="I28" s="45">
        <f>K28/C28</f>
        <v>35.64785731335783</v>
      </c>
      <c r="J28" s="45">
        <f>K28/F28</f>
        <v>79.63459947377653</v>
      </c>
      <c r="K28" s="42">
        <f>SUM(K23:K27)</f>
        <v>11349921.290000001</v>
      </c>
      <c r="L28" s="42">
        <f>SUM(L23:L27)</f>
        <v>11777097.09</v>
      </c>
      <c r="M28" s="46">
        <f>(+K28-L28)/L28</f>
        <v>-0.03627173969404704</v>
      </c>
      <c r="N28" s="11"/>
      <c r="R28" s="2"/>
    </row>
    <row r="29" spans="1:18" ht="15.75" customHeight="1" thickTop="1">
      <c r="A29" s="47"/>
      <c r="B29" s="48"/>
      <c r="C29" s="49"/>
      <c r="D29" s="49"/>
      <c r="E29" s="50"/>
      <c r="F29" s="49"/>
      <c r="G29" s="49"/>
      <c r="H29" s="50"/>
      <c r="I29" s="51"/>
      <c r="J29" s="51"/>
      <c r="K29" s="49"/>
      <c r="L29" s="49"/>
      <c r="M29" s="26"/>
      <c r="N29" s="11"/>
      <c r="R29" s="2"/>
    </row>
    <row r="30" spans="1:18" ht="15.75" customHeight="1">
      <c r="A30" s="20" t="s">
        <v>16</v>
      </c>
      <c r="B30" s="21">
        <f>DATE(2011,7,1)</f>
        <v>40725</v>
      </c>
      <c r="C30" s="22">
        <v>617673</v>
      </c>
      <c r="D30" s="22">
        <v>683669</v>
      </c>
      <c r="E30" s="24">
        <f>(+C30-D30)/D30</f>
        <v>-0.09653209374712032</v>
      </c>
      <c r="F30" s="22">
        <f>+C30-316900</f>
        <v>300773</v>
      </c>
      <c r="G30" s="22">
        <f>+D30-354657</f>
        <v>329012</v>
      </c>
      <c r="H30" s="24">
        <f>(+F30-G30)/G30</f>
        <v>-0.0858296961812943</v>
      </c>
      <c r="I30" s="25">
        <f>K30/C30</f>
        <v>39.63116755953393</v>
      </c>
      <c r="J30" s="25">
        <f>K30/F30</f>
        <v>81.38729925890955</v>
      </c>
      <c r="K30" s="22">
        <v>24479102.16</v>
      </c>
      <c r="L30" s="22">
        <v>25239968.33</v>
      </c>
      <c r="M30" s="26">
        <f>(+K30-L30)/L30</f>
        <v>-0.030145290202113265</v>
      </c>
      <c r="N30" s="11"/>
      <c r="R30" s="2"/>
    </row>
    <row r="31" spans="1:18" ht="15.75" customHeight="1">
      <c r="A31" s="20"/>
      <c r="B31" s="21">
        <f>DATE(2011,8,1)</f>
        <v>40756</v>
      </c>
      <c r="C31" s="22">
        <v>557677</v>
      </c>
      <c r="D31" s="22">
        <v>612793</v>
      </c>
      <c r="E31" s="24">
        <f>(+C31-D31)/D31</f>
        <v>-0.08994228067226616</v>
      </c>
      <c r="F31" s="22">
        <f>+C31-280204</f>
        <v>277473</v>
      </c>
      <c r="G31" s="22">
        <f>+D31-319692</f>
        <v>293101</v>
      </c>
      <c r="H31" s="24">
        <f>(+F31-G31)/G31</f>
        <v>-0.05331950419821154</v>
      </c>
      <c r="I31" s="25">
        <f>K31/C31</f>
        <v>37.84735841714828</v>
      </c>
      <c r="J31" s="25">
        <f>K31/F31</f>
        <v>76.06722563997218</v>
      </c>
      <c r="K31" s="22">
        <v>21106601.3</v>
      </c>
      <c r="L31" s="22">
        <v>22546919.59</v>
      </c>
      <c r="M31" s="26">
        <f>(+K31-L31)/L31</f>
        <v>-0.06388093434452166</v>
      </c>
      <c r="N31" s="11"/>
      <c r="R31" s="2"/>
    </row>
    <row r="32" spans="1:18" ht="15.75" customHeight="1">
      <c r="A32" s="20"/>
      <c r="B32" s="21">
        <f>DATE(2011,9,1)</f>
        <v>40787</v>
      </c>
      <c r="C32" s="22">
        <v>568209</v>
      </c>
      <c r="D32" s="22">
        <v>587353</v>
      </c>
      <c r="E32" s="24">
        <f>(+C32-D32)/D32</f>
        <v>-0.03259368727153858</v>
      </c>
      <c r="F32" s="22">
        <f>+C32-285506</f>
        <v>282703</v>
      </c>
      <c r="G32" s="22">
        <f>+D32-306675</f>
        <v>280678</v>
      </c>
      <c r="H32" s="24">
        <f>(+F32-G32)/G32</f>
        <v>0.007214673041706155</v>
      </c>
      <c r="I32" s="25">
        <f>K32/C32</f>
        <v>38.67036803359327</v>
      </c>
      <c r="J32" s="25">
        <f>K32/F32</f>
        <v>77.72415273272657</v>
      </c>
      <c r="K32" s="22">
        <v>21972851.15</v>
      </c>
      <c r="L32" s="22">
        <v>22471874.91</v>
      </c>
      <c r="M32" s="26">
        <f>(+K32-L32)/L32</f>
        <v>-0.02220659210673764</v>
      </c>
      <c r="N32" s="11"/>
      <c r="R32" s="2"/>
    </row>
    <row r="33" spans="1:18" ht="15.75" customHeight="1">
      <c r="A33" s="20"/>
      <c r="B33" s="21">
        <f>DATE(2011,10,1)</f>
        <v>40817</v>
      </c>
      <c r="C33" s="22">
        <v>544062</v>
      </c>
      <c r="D33" s="22">
        <v>586796</v>
      </c>
      <c r="E33" s="24">
        <f>(+C33-D33)/D33</f>
        <v>-0.07282599063388298</v>
      </c>
      <c r="F33" s="22">
        <f>+C33-274434</f>
        <v>269628</v>
      </c>
      <c r="G33" s="22">
        <f>+D33-306236</f>
        <v>280560</v>
      </c>
      <c r="H33" s="24">
        <f>(+F33-G33)/G33</f>
        <v>-0.03896492728828058</v>
      </c>
      <c r="I33" s="25">
        <f>K33/C33</f>
        <v>39.783593708070036</v>
      </c>
      <c r="J33" s="25">
        <f>K33/F33</f>
        <v>80.27631240078924</v>
      </c>
      <c r="K33" s="22">
        <v>21644741.56</v>
      </c>
      <c r="L33" s="22">
        <v>22598955.58</v>
      </c>
      <c r="M33" s="26">
        <f>(+K33-L33)/L33</f>
        <v>-0.04222381059257782</v>
      </c>
      <c r="N33" s="11"/>
      <c r="R33" s="2"/>
    </row>
    <row r="34" spans="1:18" ht="15.75" thickBot="1">
      <c r="A34" s="39"/>
      <c r="B34" s="52"/>
      <c r="C34" s="22"/>
      <c r="D34" s="22"/>
      <c r="E34" s="24"/>
      <c r="F34" s="22"/>
      <c r="G34" s="22"/>
      <c r="H34" s="24"/>
      <c r="I34" s="25"/>
      <c r="J34" s="25"/>
      <c r="K34" s="22"/>
      <c r="L34" s="22"/>
      <c r="M34" s="26"/>
      <c r="N34" s="11"/>
      <c r="R34" s="2"/>
    </row>
    <row r="35" spans="1:18" ht="17.25" thickBot="1" thickTop="1">
      <c r="A35" s="40" t="s">
        <v>14</v>
      </c>
      <c r="B35" s="41"/>
      <c r="C35" s="42">
        <f>SUM(C30:C34)</f>
        <v>2287621</v>
      </c>
      <c r="D35" s="42">
        <f>SUM(D30:D34)</f>
        <v>2470611</v>
      </c>
      <c r="E35" s="43">
        <f>(+C35-D35)/D35</f>
        <v>-0.07406669848065923</v>
      </c>
      <c r="F35" s="42">
        <f>SUM(F30:F34)</f>
        <v>1130577</v>
      </c>
      <c r="G35" s="42">
        <f>SUM(G30:G34)</f>
        <v>1183351</v>
      </c>
      <c r="H35" s="44">
        <f>(+F35-G35)/G35</f>
        <v>-0.04459708066330277</v>
      </c>
      <c r="I35" s="45">
        <f>K35/C35</f>
        <v>38.99391383887453</v>
      </c>
      <c r="J35" s="45">
        <f>K35/F35</f>
        <v>78.90068183768112</v>
      </c>
      <c r="K35" s="42">
        <f>SUM(K30:K34)</f>
        <v>89203296.17</v>
      </c>
      <c r="L35" s="42">
        <f>SUM(L30:L34)</f>
        <v>92857718.41</v>
      </c>
      <c r="M35" s="46">
        <f>(+K35-L35)/L35</f>
        <v>-0.03935507249773697</v>
      </c>
      <c r="N35" s="11"/>
      <c r="R35" s="2"/>
    </row>
    <row r="36" spans="1:18" ht="15.75" thickTop="1">
      <c r="A36" s="47"/>
      <c r="B36" s="48"/>
      <c r="C36" s="49"/>
      <c r="D36" s="49"/>
      <c r="E36" s="50"/>
      <c r="F36" s="49"/>
      <c r="G36" s="49"/>
      <c r="H36" s="50"/>
      <c r="I36" s="51"/>
      <c r="J36" s="51"/>
      <c r="K36" s="49"/>
      <c r="L36" s="49"/>
      <c r="M36" s="26"/>
      <c r="N36" s="11"/>
      <c r="R36" s="2"/>
    </row>
    <row r="37" spans="1:18" ht="15.75">
      <c r="A37" s="20" t="s">
        <v>17</v>
      </c>
      <c r="B37" s="21">
        <f>DATE(2011,7,1)</f>
        <v>40725</v>
      </c>
      <c r="C37" s="22">
        <v>441921</v>
      </c>
      <c r="D37" s="22">
        <v>470432</v>
      </c>
      <c r="E37" s="24">
        <f>(+C37-D37)/D37</f>
        <v>-0.060605996190735326</v>
      </c>
      <c r="F37" s="22">
        <f>+C37-211667</f>
        <v>230254</v>
      </c>
      <c r="G37" s="22">
        <f>+D37-222180</f>
        <v>248252</v>
      </c>
      <c r="H37" s="24">
        <f>(+F37-G37)/G37</f>
        <v>-0.07249891239546911</v>
      </c>
      <c r="I37" s="25">
        <f>K37/C37</f>
        <v>39.294472021017334</v>
      </c>
      <c r="J37" s="25">
        <f>K37/F37</f>
        <v>75.41694116063131</v>
      </c>
      <c r="K37" s="22">
        <v>17365052.37</v>
      </c>
      <c r="L37" s="22">
        <v>17339020.4</v>
      </c>
      <c r="M37" s="26">
        <f>(+K37-L37)/L37</f>
        <v>0.0015013518295417967</v>
      </c>
      <c r="N37" s="11"/>
      <c r="R37" s="2"/>
    </row>
    <row r="38" spans="1:18" ht="15.75">
      <c r="A38" s="20"/>
      <c r="B38" s="21">
        <f>DATE(2011,8,1)</f>
        <v>40756</v>
      </c>
      <c r="C38" s="22">
        <v>417722</v>
      </c>
      <c r="D38" s="22">
        <v>437093</v>
      </c>
      <c r="E38" s="24">
        <f>(+C38-D38)/D38</f>
        <v>-0.044317799644469254</v>
      </c>
      <c r="F38" s="22">
        <f>+C38-199384</f>
        <v>218338</v>
      </c>
      <c r="G38" s="22">
        <f>+D38-203964</f>
        <v>233129</v>
      </c>
      <c r="H38" s="24">
        <f>(+F38-G38)/G38</f>
        <v>-0.06344556018341777</v>
      </c>
      <c r="I38" s="25">
        <f>K38/C38</f>
        <v>38.22530532267872</v>
      </c>
      <c r="J38" s="25">
        <f>K38/F38</f>
        <v>73.13225819600802</v>
      </c>
      <c r="K38" s="22">
        <v>15967550.99</v>
      </c>
      <c r="L38" s="22">
        <v>16180563.51</v>
      </c>
      <c r="M38" s="26">
        <f>(+K38-L38)/L38</f>
        <v>-0.013164715794252307</v>
      </c>
      <c r="N38" s="11"/>
      <c r="R38" s="2"/>
    </row>
    <row r="39" spans="1:18" ht="15.75">
      <c r="A39" s="20"/>
      <c r="B39" s="21">
        <f>DATE(2011,9,1)</f>
        <v>40787</v>
      </c>
      <c r="C39" s="22">
        <v>395374</v>
      </c>
      <c r="D39" s="22">
        <v>427224</v>
      </c>
      <c r="E39" s="24">
        <f>(+C39-D39)/D39</f>
        <v>-0.07455105518416569</v>
      </c>
      <c r="F39" s="22">
        <f>+C39-188061</f>
        <v>207313</v>
      </c>
      <c r="G39" s="22">
        <f>+D39-204920</f>
        <v>222304</v>
      </c>
      <c r="H39" s="24">
        <f>(+F39-G39)/G39</f>
        <v>-0.06743468403627464</v>
      </c>
      <c r="I39" s="25">
        <f>K39/C39</f>
        <v>41.114053680818664</v>
      </c>
      <c r="J39" s="25">
        <f>K39/F39</f>
        <v>78.41007491088354</v>
      </c>
      <c r="K39" s="22">
        <v>16255427.86</v>
      </c>
      <c r="L39" s="22">
        <v>15594770.61</v>
      </c>
      <c r="M39" s="26">
        <f>(+K39-L39)/L39</f>
        <v>0.042364024872309426</v>
      </c>
      <c r="N39" s="11"/>
      <c r="R39" s="2"/>
    </row>
    <row r="40" spans="1:18" ht="15.75">
      <c r="A40" s="20"/>
      <c r="B40" s="21">
        <f>DATE(2011,10,1)</f>
        <v>40817</v>
      </c>
      <c r="C40" s="22">
        <v>405100</v>
      </c>
      <c r="D40" s="22">
        <v>437688</v>
      </c>
      <c r="E40" s="24">
        <f>(+C40-D40)/D40</f>
        <v>-0.07445486282466049</v>
      </c>
      <c r="F40" s="22">
        <f>+C40-190017</f>
        <v>215083</v>
      </c>
      <c r="G40" s="22">
        <f>+D40-213449</f>
        <v>224239</v>
      </c>
      <c r="H40" s="24">
        <f>(+F40-G40)/G40</f>
        <v>-0.040831434317848365</v>
      </c>
      <c r="I40" s="25">
        <f>K40/C40</f>
        <v>38.3843805726981</v>
      </c>
      <c r="J40" s="25">
        <f>K40/F40</f>
        <v>72.29540489020518</v>
      </c>
      <c r="K40" s="22">
        <v>15549512.57</v>
      </c>
      <c r="L40" s="22">
        <v>16736017</v>
      </c>
      <c r="M40" s="26">
        <f>(+K40-L40)/L40</f>
        <v>-0.07089526916709034</v>
      </c>
      <c r="N40" s="11"/>
      <c r="R40" s="2"/>
    </row>
    <row r="41" spans="1:18" ht="15.75" thickBot="1">
      <c r="A41" s="39"/>
      <c r="B41" s="21"/>
      <c r="C41" s="22"/>
      <c r="D41" s="22"/>
      <c r="E41" s="24"/>
      <c r="F41" s="22"/>
      <c r="G41" s="22"/>
      <c r="H41" s="24"/>
      <c r="I41" s="25"/>
      <c r="J41" s="25"/>
      <c r="K41" s="22"/>
      <c r="L41" s="22"/>
      <c r="M41" s="26"/>
      <c r="N41" s="11"/>
      <c r="R41" s="2"/>
    </row>
    <row r="42" spans="1:18" ht="17.25" thickBot="1" thickTop="1">
      <c r="A42" s="40" t="s">
        <v>14</v>
      </c>
      <c r="B42" s="41"/>
      <c r="C42" s="42">
        <f>SUM(C37:C41)</f>
        <v>1660117</v>
      </c>
      <c r="D42" s="42">
        <f>SUM(D37:D41)</f>
        <v>1772437</v>
      </c>
      <c r="E42" s="53">
        <f>(+C42-D42)/D42</f>
        <v>-0.06337037649293036</v>
      </c>
      <c r="F42" s="54">
        <f>SUM(F37:F41)</f>
        <v>870988</v>
      </c>
      <c r="G42" s="55">
        <f>SUM(G37:G41)</f>
        <v>927924</v>
      </c>
      <c r="H42" s="56">
        <f>(+F42-G42)/G42</f>
        <v>-0.0613584733232463</v>
      </c>
      <c r="I42" s="57">
        <f>K42/C42</f>
        <v>39.236718731270145</v>
      </c>
      <c r="J42" s="58">
        <f>K42/F42</f>
        <v>74.78581081484475</v>
      </c>
      <c r="K42" s="55">
        <f>SUM(K37:K41)</f>
        <v>65137543.79</v>
      </c>
      <c r="L42" s="54">
        <f>SUM(L37:L41)</f>
        <v>65850371.519999996</v>
      </c>
      <c r="M42" s="46">
        <f>(+K42-L42)/L42</f>
        <v>-0.010824961401827437</v>
      </c>
      <c r="N42" s="11"/>
      <c r="R42" s="2"/>
    </row>
    <row r="43" spans="1:18" ht="16.5" thickTop="1">
      <c r="A43" s="59"/>
      <c r="B43" s="48"/>
      <c r="C43" s="49"/>
      <c r="D43" s="49"/>
      <c r="E43" s="50"/>
      <c r="F43" s="49"/>
      <c r="G43" s="49"/>
      <c r="H43" s="50"/>
      <c r="I43" s="51"/>
      <c r="J43" s="51"/>
      <c r="K43" s="49"/>
      <c r="L43" s="49"/>
      <c r="M43" s="26"/>
      <c r="N43" s="11"/>
      <c r="R43" s="2"/>
    </row>
    <row r="44" spans="1:18" ht="15.75">
      <c r="A44" s="20" t="s">
        <v>18</v>
      </c>
      <c r="B44" s="21">
        <f>DATE(2011,7,1)</f>
        <v>40725</v>
      </c>
      <c r="C44" s="22">
        <v>271052</v>
      </c>
      <c r="D44" s="22">
        <v>270755</v>
      </c>
      <c r="E44" s="24">
        <f>(+C44-D44)/D44</f>
        <v>0.0010969326512899114</v>
      </c>
      <c r="F44" s="22">
        <f>+C44-131080</f>
        <v>139972</v>
      </c>
      <c r="G44" s="22">
        <f>+D44-133059</f>
        <v>137696</v>
      </c>
      <c r="H44" s="24">
        <f>(+F44-G44)/G44</f>
        <v>0.016529165698349987</v>
      </c>
      <c r="I44" s="25">
        <f>K44/C44</f>
        <v>26.890415676696723</v>
      </c>
      <c r="J44" s="25">
        <f>K44/F44</f>
        <v>52.07256415568828</v>
      </c>
      <c r="K44" s="22">
        <v>7288700.95</v>
      </c>
      <c r="L44" s="22">
        <v>7103159.57</v>
      </c>
      <c r="M44" s="26">
        <f>(+K44-L44)/L44</f>
        <v>0.02612096464559642</v>
      </c>
      <c r="N44" s="11"/>
      <c r="R44" s="2"/>
    </row>
    <row r="45" spans="1:18" ht="15.75">
      <c r="A45" s="20"/>
      <c r="B45" s="21">
        <f>DATE(2011,8,1)</f>
        <v>40756</v>
      </c>
      <c r="C45" s="22">
        <v>279281</v>
      </c>
      <c r="D45" s="22">
        <v>266454</v>
      </c>
      <c r="E45" s="24">
        <f>(+C45-D45)/D45</f>
        <v>0.04813964136398778</v>
      </c>
      <c r="F45" s="22">
        <f>+C45-136176</f>
        <v>143105</v>
      </c>
      <c r="G45" s="22">
        <f>+D45-128500</f>
        <v>137954</v>
      </c>
      <c r="H45" s="24">
        <f>(+F45-G45)/G45</f>
        <v>0.03733853313423315</v>
      </c>
      <c r="I45" s="25">
        <f>K45/C45</f>
        <v>25.61911880865508</v>
      </c>
      <c r="J45" s="25">
        <f>K45/F45</f>
        <v>49.997785681842004</v>
      </c>
      <c r="K45" s="22">
        <v>7154933.12</v>
      </c>
      <c r="L45" s="22">
        <v>7028397.27</v>
      </c>
      <c r="M45" s="26">
        <f>(+K45-L45)/L45</f>
        <v>0.018003514192361608</v>
      </c>
      <c r="N45" s="11"/>
      <c r="R45" s="2"/>
    </row>
    <row r="46" spans="1:18" ht="15.75">
      <c r="A46" s="20"/>
      <c r="B46" s="21">
        <f>DATE(2011,9,1)</f>
        <v>40787</v>
      </c>
      <c r="C46" s="22">
        <v>258947</v>
      </c>
      <c r="D46" s="22">
        <v>252172</v>
      </c>
      <c r="E46" s="24">
        <f>(+C46-D46)/D46</f>
        <v>0.026866583125803024</v>
      </c>
      <c r="F46" s="22">
        <f>+C46-125392</f>
        <v>133555</v>
      </c>
      <c r="G46" s="22">
        <f>+D46-123375</f>
        <v>128797</v>
      </c>
      <c r="H46" s="24">
        <f>(+F46-G46)/G46</f>
        <v>0.0369418542357353</v>
      </c>
      <c r="I46" s="25">
        <f>K46/C46</f>
        <v>26.841962641003757</v>
      </c>
      <c r="J46" s="25">
        <f>K46/F46</f>
        <v>52.04332072928756</v>
      </c>
      <c r="K46" s="22">
        <v>6950645.7</v>
      </c>
      <c r="L46" s="22">
        <v>6741742.94</v>
      </c>
      <c r="M46" s="26">
        <f>(+K46-L46)/L46</f>
        <v>0.03098646178876701</v>
      </c>
      <c r="N46" s="11"/>
      <c r="R46" s="2"/>
    </row>
    <row r="47" spans="1:18" ht="15.75">
      <c r="A47" s="20"/>
      <c r="B47" s="21">
        <f>DATE(2011,10,1)</f>
        <v>40817</v>
      </c>
      <c r="C47" s="22">
        <v>268815</v>
      </c>
      <c r="D47" s="22">
        <v>279784</v>
      </c>
      <c r="E47" s="24">
        <f>(+C47-D47)/D47</f>
        <v>-0.03920524404540646</v>
      </c>
      <c r="F47" s="22">
        <f>+C47-135203</f>
        <v>133612</v>
      </c>
      <c r="G47" s="22">
        <f>+D47-143403</f>
        <v>136381</v>
      </c>
      <c r="H47" s="24">
        <f>(+F47-G47)/G47</f>
        <v>-0.020303414698528387</v>
      </c>
      <c r="I47" s="25">
        <f>K47/C47</f>
        <v>25.86220229525882</v>
      </c>
      <c r="J47" s="25">
        <f>K47/F47</f>
        <v>52.032361689069845</v>
      </c>
      <c r="K47" s="22">
        <v>6952147.91</v>
      </c>
      <c r="L47" s="22">
        <v>6964850.88</v>
      </c>
      <c r="M47" s="26">
        <f>(+K47-L47)/L47</f>
        <v>-0.0018238681945764415</v>
      </c>
      <c r="N47" s="11"/>
      <c r="R47" s="2"/>
    </row>
    <row r="48" spans="1:18" ht="17.25" customHeight="1" thickBot="1">
      <c r="A48" s="20"/>
      <c r="B48" s="52"/>
      <c r="C48" s="22"/>
      <c r="D48" s="22"/>
      <c r="E48" s="24"/>
      <c r="F48" s="22"/>
      <c r="G48" s="22"/>
      <c r="H48" s="24"/>
      <c r="I48" s="25"/>
      <c r="J48" s="25"/>
      <c r="K48" s="22"/>
      <c r="L48" s="22"/>
      <c r="M48" s="26"/>
      <c r="N48" s="11"/>
      <c r="R48" s="2"/>
    </row>
    <row r="49" spans="1:18" ht="17.25" customHeight="1" thickBot="1" thickTop="1">
      <c r="A49" s="40" t="s">
        <v>14</v>
      </c>
      <c r="B49" s="60"/>
      <c r="C49" s="54">
        <f>SUM(C44:C48)</f>
        <v>1078095</v>
      </c>
      <c r="D49" s="55">
        <f>SUM(D44:D48)</f>
        <v>1069165</v>
      </c>
      <c r="E49" s="53">
        <f>(+C49-D49)/D49</f>
        <v>0.008352312318491532</v>
      </c>
      <c r="F49" s="55">
        <f>SUM(F44:F48)</f>
        <v>550244</v>
      </c>
      <c r="G49" s="54">
        <f>SUM(G44:G48)</f>
        <v>540828</v>
      </c>
      <c r="H49" s="61">
        <f>(+F49-G49)/G49</f>
        <v>0.017410341180560177</v>
      </c>
      <c r="I49" s="58">
        <f>K49/C49</f>
        <v>26.293070350943097</v>
      </c>
      <c r="J49" s="57">
        <f>K49/F49</f>
        <v>51.5161050006906</v>
      </c>
      <c r="K49" s="54">
        <f>SUM(K44:K48)</f>
        <v>28346427.68</v>
      </c>
      <c r="L49" s="55">
        <f>SUM(L44:L48)</f>
        <v>27838150.66</v>
      </c>
      <c r="M49" s="46">
        <f>(+K49-L49)/L49</f>
        <v>0.01825828971930708</v>
      </c>
      <c r="N49" s="11"/>
      <c r="R49" s="2"/>
    </row>
    <row r="50" spans="1:18" ht="15.75" customHeight="1" thickTop="1">
      <c r="A50" s="59"/>
      <c r="B50" s="48"/>
      <c r="C50" s="49"/>
      <c r="D50" s="49"/>
      <c r="E50" s="50"/>
      <c r="F50" s="49"/>
      <c r="G50" s="49"/>
      <c r="H50" s="50"/>
      <c r="I50" s="51"/>
      <c r="J50" s="51"/>
      <c r="K50" s="49"/>
      <c r="L50" s="49"/>
      <c r="M50" s="26"/>
      <c r="N50" s="11"/>
      <c r="R50" s="2"/>
    </row>
    <row r="51" spans="1:18" ht="15.75" customHeight="1">
      <c r="A51" s="20" t="s">
        <v>60</v>
      </c>
      <c r="B51" s="21">
        <f>DATE(2011,7,1)</f>
        <v>40725</v>
      </c>
      <c r="C51" s="22">
        <v>570848</v>
      </c>
      <c r="D51" s="22">
        <v>602289</v>
      </c>
      <c r="E51" s="24">
        <f>(+C51-D51)/D51</f>
        <v>-0.052202514075468755</v>
      </c>
      <c r="F51" s="22">
        <f>+C51-276852</f>
        <v>293996</v>
      </c>
      <c r="G51" s="22">
        <f>+D51-299646</f>
        <v>302643</v>
      </c>
      <c r="H51" s="24">
        <f>(+F51-G51)/G51</f>
        <v>-0.028571617384178717</v>
      </c>
      <c r="I51" s="25">
        <f>K51/C51</f>
        <v>26.603223187258255</v>
      </c>
      <c r="J51" s="25">
        <f>K51/F51</f>
        <v>51.655113504945646</v>
      </c>
      <c r="K51" s="22">
        <v>15186396.75</v>
      </c>
      <c r="L51" s="22">
        <v>14965980.17</v>
      </c>
      <c r="M51" s="26">
        <f>(+K51-L51)/L51</f>
        <v>0.01472784124369183</v>
      </c>
      <c r="N51" s="11"/>
      <c r="R51" s="2"/>
    </row>
    <row r="52" spans="1:18" ht="15.75" customHeight="1">
      <c r="A52" s="20"/>
      <c r="B52" s="21">
        <f>DATE(2011,8,1)</f>
        <v>40756</v>
      </c>
      <c r="C52" s="22">
        <v>520239</v>
      </c>
      <c r="D52" s="22">
        <v>577759</v>
      </c>
      <c r="E52" s="24">
        <f>(+C52-D52)/D52</f>
        <v>-0.09955708175900332</v>
      </c>
      <c r="F52" s="22">
        <f>+C52-247111</f>
        <v>273128</v>
      </c>
      <c r="G52" s="22">
        <f>+D52-290644</f>
        <v>287115</v>
      </c>
      <c r="H52" s="24">
        <f>(+F52-G52)/G52</f>
        <v>-0.04871567142085924</v>
      </c>
      <c r="I52" s="25">
        <f>K52/C52</f>
        <v>26.43704468523121</v>
      </c>
      <c r="J52" s="25">
        <f>K52/F52</f>
        <v>50.3558100597522</v>
      </c>
      <c r="K52" s="22">
        <v>13753581.69</v>
      </c>
      <c r="L52" s="22">
        <v>14502844.38</v>
      </c>
      <c r="M52" s="26">
        <f>(+K52-L52)/L52</f>
        <v>-0.0516631545073506</v>
      </c>
      <c r="N52" s="11"/>
      <c r="R52" s="2"/>
    </row>
    <row r="53" spans="1:18" ht="15.75" customHeight="1">
      <c r="A53" s="20"/>
      <c r="B53" s="21">
        <f>DATE(2011,9,1)</f>
        <v>40787</v>
      </c>
      <c r="C53" s="22">
        <v>541718</v>
      </c>
      <c r="D53" s="22">
        <v>563799</v>
      </c>
      <c r="E53" s="24">
        <f>(+C53-D53)/D53</f>
        <v>-0.03916466684048748</v>
      </c>
      <c r="F53" s="22">
        <f>+C53-266415</f>
        <v>275303</v>
      </c>
      <c r="G53" s="22">
        <f>+D53-274665</f>
        <v>289134</v>
      </c>
      <c r="H53" s="24">
        <f>(+F53-G53)/G53</f>
        <v>-0.04783595149653794</v>
      </c>
      <c r="I53" s="25">
        <f>K53/C53</f>
        <v>26.74163245452431</v>
      </c>
      <c r="J53" s="25">
        <f>K53/F53</f>
        <v>52.61992658997541</v>
      </c>
      <c r="K53" s="22">
        <v>14486423.65</v>
      </c>
      <c r="L53" s="22">
        <v>13413869.02</v>
      </c>
      <c r="M53" s="26">
        <f>(+K53-L53)/L53</f>
        <v>0.07995863299401748</v>
      </c>
      <c r="N53" s="11"/>
      <c r="R53" s="2"/>
    </row>
    <row r="54" spans="1:18" ht="15.75" customHeight="1">
      <c r="A54" s="20"/>
      <c r="B54" s="21">
        <f>DATE(2011,10,1)</f>
        <v>40817</v>
      </c>
      <c r="C54" s="22">
        <v>514282</v>
      </c>
      <c r="D54" s="22">
        <v>550559</v>
      </c>
      <c r="E54" s="24">
        <f>(+C54-D54)/D54</f>
        <v>-0.06589121238595681</v>
      </c>
      <c r="F54" s="22">
        <f>+C54-248062</f>
        <v>266220</v>
      </c>
      <c r="G54" s="22">
        <f>+D54-267950</f>
        <v>282609</v>
      </c>
      <c r="H54" s="24">
        <f>(+F54-G54)/G54</f>
        <v>-0.05799178370115601</v>
      </c>
      <c r="I54" s="25">
        <f>K54/C54</f>
        <v>27.16653269995839</v>
      </c>
      <c r="J54" s="25">
        <f>K54/F54</f>
        <v>52.48012459619863</v>
      </c>
      <c r="K54" s="22">
        <v>13971258.77</v>
      </c>
      <c r="L54" s="22">
        <v>14738642.01</v>
      </c>
      <c r="M54" s="26">
        <f>(+K54-L54)/L54</f>
        <v>-0.05206607498026884</v>
      </c>
      <c r="N54" s="11"/>
      <c r="R54" s="2"/>
    </row>
    <row r="55" spans="1:18" ht="15.75" customHeight="1" thickBot="1">
      <c r="A55" s="20"/>
      <c r="B55" s="52"/>
      <c r="C55" s="22"/>
      <c r="D55" s="22"/>
      <c r="E55" s="24"/>
      <c r="F55" s="22"/>
      <c r="G55" s="22"/>
      <c r="H55" s="24"/>
      <c r="I55" s="25"/>
      <c r="J55" s="25"/>
      <c r="K55" s="22"/>
      <c r="L55" s="22"/>
      <c r="M55" s="26"/>
      <c r="N55" s="11"/>
      <c r="R55" s="2"/>
    </row>
    <row r="56" spans="1:18" ht="17.25" thickBot="1" thickTop="1">
      <c r="A56" s="40" t="s">
        <v>14</v>
      </c>
      <c r="B56" s="41"/>
      <c r="C56" s="42">
        <f>SUM(C51:C55)</f>
        <v>2147087</v>
      </c>
      <c r="D56" s="42">
        <f>SUM(D51:D55)</f>
        <v>2294406</v>
      </c>
      <c r="E56" s="43">
        <f>(+C56-D56)/D56</f>
        <v>-0.06420790391935866</v>
      </c>
      <c r="F56" s="42">
        <f>SUM(F51:F55)</f>
        <v>1108647</v>
      </c>
      <c r="G56" s="42">
        <f>SUM(G51:G55)</f>
        <v>1161501</v>
      </c>
      <c r="H56" s="44">
        <f>(+F56-G56)/G56</f>
        <v>-0.04550491131733851</v>
      </c>
      <c r="I56" s="45">
        <f>K56/C56</f>
        <v>26.732806290569503</v>
      </c>
      <c r="J56" s="45">
        <f>K56/F56</f>
        <v>51.772711115440714</v>
      </c>
      <c r="K56" s="42">
        <f>SUM(K51:K55)</f>
        <v>57397660.86</v>
      </c>
      <c r="L56" s="42">
        <f>SUM(L51:L55)</f>
        <v>57621335.58</v>
      </c>
      <c r="M56" s="46">
        <f>(+K56-L56)/L56</f>
        <v>-0.003881803810143458</v>
      </c>
      <c r="N56" s="11"/>
      <c r="R56" s="2"/>
    </row>
    <row r="57" spans="1:18" ht="15.75" customHeight="1" thickTop="1">
      <c r="A57" s="62"/>
      <c r="B57" s="63"/>
      <c r="C57" s="63"/>
      <c r="D57" s="63"/>
      <c r="E57" s="64"/>
      <c r="F57" s="63"/>
      <c r="G57" s="63"/>
      <c r="H57" s="64"/>
      <c r="I57" s="63"/>
      <c r="J57" s="63"/>
      <c r="K57" s="218"/>
      <c r="L57" s="218"/>
      <c r="M57" s="65"/>
      <c r="N57" s="11"/>
      <c r="R57" s="2"/>
    </row>
    <row r="58" spans="1:18" ht="15.75" customHeight="1">
      <c r="A58" s="20" t="s">
        <v>19</v>
      </c>
      <c r="B58" s="21">
        <f>DATE(2011,7,1)</f>
        <v>40725</v>
      </c>
      <c r="C58" s="22">
        <v>656343</v>
      </c>
      <c r="D58" s="22">
        <v>754533</v>
      </c>
      <c r="E58" s="24">
        <f>(+C58-D58)/D58</f>
        <v>-0.13013347328745065</v>
      </c>
      <c r="F58" s="22">
        <f>+C58-343037</f>
        <v>313306</v>
      </c>
      <c r="G58" s="22">
        <f>+D58-412858</f>
        <v>341675</v>
      </c>
      <c r="H58" s="24">
        <f>(+F58-G58)/G58</f>
        <v>-0.08302919440989244</v>
      </c>
      <c r="I58" s="25">
        <f>K58/C58</f>
        <v>32.45357898233089</v>
      </c>
      <c r="J58" s="25">
        <f>K58/F58</f>
        <v>67.98682243557417</v>
      </c>
      <c r="K58" s="22">
        <v>21300679.39</v>
      </c>
      <c r="L58" s="22">
        <v>22534328.33</v>
      </c>
      <c r="M58" s="26">
        <f>(+K58-L58)/L58</f>
        <v>-0.0547453166535094</v>
      </c>
      <c r="N58" s="11"/>
      <c r="R58" s="2"/>
    </row>
    <row r="59" spans="1:18" ht="15.75" customHeight="1">
      <c r="A59" s="20"/>
      <c r="B59" s="21">
        <f>DATE(2011,8,1)</f>
        <v>40756</v>
      </c>
      <c r="C59" s="22">
        <v>584826</v>
      </c>
      <c r="D59" s="22">
        <v>665970</v>
      </c>
      <c r="E59" s="24">
        <f>(+C59-D59)/D59</f>
        <v>-0.12184332627595838</v>
      </c>
      <c r="F59" s="22">
        <f>+C59-302555</f>
        <v>282271</v>
      </c>
      <c r="G59" s="22">
        <f>+D59-364578</f>
        <v>301392</v>
      </c>
      <c r="H59" s="24">
        <f>(+F59-G59)/G59</f>
        <v>-0.0634422944205553</v>
      </c>
      <c r="I59" s="25">
        <f>K59/C59</f>
        <v>32.09852886157592</v>
      </c>
      <c r="J59" s="25">
        <f>K59/F59</f>
        <v>66.5036586826135</v>
      </c>
      <c r="K59" s="22">
        <v>18772054.24</v>
      </c>
      <c r="L59" s="22">
        <v>19595945.91</v>
      </c>
      <c r="M59" s="26">
        <f>(+K59-L59)/L59</f>
        <v>-0.04204398571949323</v>
      </c>
      <c r="N59" s="11"/>
      <c r="R59" s="2"/>
    </row>
    <row r="60" spans="1:18" ht="15.75" customHeight="1">
      <c r="A60" s="20"/>
      <c r="B60" s="21">
        <f>DATE(2011,9,1)</f>
        <v>40787</v>
      </c>
      <c r="C60" s="22">
        <v>581069</v>
      </c>
      <c r="D60" s="22">
        <v>628226</v>
      </c>
      <c r="E60" s="24">
        <f>(+C60-D60)/D60</f>
        <v>-0.07506375094313193</v>
      </c>
      <c r="F60" s="22">
        <f>+C60-306152</f>
        <v>274917</v>
      </c>
      <c r="G60" s="22">
        <f>+D60-343329</f>
        <v>284897</v>
      </c>
      <c r="H60" s="24">
        <f>(+F60-G60)/G60</f>
        <v>-0.03503020389825095</v>
      </c>
      <c r="I60" s="25">
        <f>K60/C60</f>
        <v>32.539165899402654</v>
      </c>
      <c r="J60" s="25">
        <f>K60/F60</f>
        <v>68.7753052375808</v>
      </c>
      <c r="K60" s="22">
        <v>18907500.59</v>
      </c>
      <c r="L60" s="22">
        <v>19182643.29</v>
      </c>
      <c r="M60" s="26">
        <f>(+K60-L60)/L60</f>
        <v>-0.014343315248083272</v>
      </c>
      <c r="N60" s="11"/>
      <c r="R60" s="2"/>
    </row>
    <row r="61" spans="1:18" ht="15.75" customHeight="1">
      <c r="A61" s="20"/>
      <c r="B61" s="21">
        <f>DATE(2011,10,1)</f>
        <v>40817</v>
      </c>
      <c r="C61" s="22">
        <v>571488</v>
      </c>
      <c r="D61" s="22">
        <v>648037</v>
      </c>
      <c r="E61" s="24">
        <f>(+C61-D61)/D61</f>
        <v>-0.1181244280804954</v>
      </c>
      <c r="F61" s="22">
        <f>+C61-301384</f>
        <v>270104</v>
      </c>
      <c r="G61" s="22">
        <f>+D61-358643</f>
        <v>289394</v>
      </c>
      <c r="H61" s="24">
        <f>(+F61-G61)/G61</f>
        <v>-0.06665653054313496</v>
      </c>
      <c r="I61" s="25">
        <f>K61/C61</f>
        <v>34.45622564253318</v>
      </c>
      <c r="J61" s="25">
        <f>K61/F61</f>
        <v>72.90273183662589</v>
      </c>
      <c r="K61" s="22">
        <v>19691319.48</v>
      </c>
      <c r="L61" s="22">
        <v>19892013.03</v>
      </c>
      <c r="M61" s="26">
        <f>(+K61-L61)/L61</f>
        <v>-0.01008915234960515</v>
      </c>
      <c r="N61" s="11"/>
      <c r="R61" s="2"/>
    </row>
    <row r="62" spans="1:18" ht="15.75" customHeight="1" thickBot="1">
      <c r="A62" s="20"/>
      <c r="B62" s="52"/>
      <c r="C62" s="22"/>
      <c r="D62" s="22"/>
      <c r="E62" s="24"/>
      <c r="F62" s="22"/>
      <c r="G62" s="22"/>
      <c r="H62" s="24"/>
      <c r="I62" s="25"/>
      <c r="J62" s="25"/>
      <c r="K62" s="22"/>
      <c r="L62" s="22"/>
      <c r="M62" s="26"/>
      <c r="N62" s="11"/>
      <c r="R62" s="2"/>
    </row>
    <row r="63" spans="1:18" ht="17.25" thickBot="1" thickTop="1">
      <c r="A63" s="40" t="s">
        <v>14</v>
      </c>
      <c r="B63" s="41"/>
      <c r="C63" s="42">
        <f>SUM(C58:C62)</f>
        <v>2393726</v>
      </c>
      <c r="D63" s="42">
        <f>SUM(D58:D62)</f>
        <v>2696766</v>
      </c>
      <c r="E63" s="43">
        <f>(+C63-D63)/D63</f>
        <v>-0.1123716332822351</v>
      </c>
      <c r="F63" s="42">
        <f>SUM(F58:F62)</f>
        <v>1140598</v>
      </c>
      <c r="G63" s="42">
        <f>SUM(G58:G62)</f>
        <v>1217358</v>
      </c>
      <c r="H63" s="44">
        <f>(+F63-G63)/G63</f>
        <v>-0.06305458213606843</v>
      </c>
      <c r="I63" s="45">
        <f>K63/C63</f>
        <v>32.865730538917155</v>
      </c>
      <c r="J63" s="45">
        <f>K63/F63</f>
        <v>68.97395375057646</v>
      </c>
      <c r="K63" s="42">
        <f>SUM(K58:K62)</f>
        <v>78671553.7</v>
      </c>
      <c r="L63" s="42">
        <f>SUM(L58:L62)</f>
        <v>81204930.56</v>
      </c>
      <c r="M63" s="46">
        <f>(+K63-L63)/L63</f>
        <v>-0.03119732807514883</v>
      </c>
      <c r="N63" s="11"/>
      <c r="R63" s="2"/>
    </row>
    <row r="64" spans="1:18" ht="15.75" customHeight="1" thickTop="1">
      <c r="A64" s="62"/>
      <c r="B64" s="63"/>
      <c r="C64" s="63"/>
      <c r="D64" s="63"/>
      <c r="E64" s="64"/>
      <c r="F64" s="63"/>
      <c r="G64" s="63"/>
      <c r="H64" s="64"/>
      <c r="I64" s="63"/>
      <c r="J64" s="63"/>
      <c r="K64" s="218"/>
      <c r="L64" s="218"/>
      <c r="M64" s="65"/>
      <c r="N64" s="11"/>
      <c r="R64" s="2"/>
    </row>
    <row r="65" spans="1:18" ht="15.75" customHeight="1">
      <c r="A65" s="20" t="s">
        <v>63</v>
      </c>
      <c r="B65" s="21">
        <f>DATE(2011,7,1)</f>
        <v>40725</v>
      </c>
      <c r="C65" s="22">
        <v>574356</v>
      </c>
      <c r="D65" s="22">
        <v>556471</v>
      </c>
      <c r="E65" s="24">
        <f>(+C65-D65)/D65</f>
        <v>0.032140039642676796</v>
      </c>
      <c r="F65" s="22">
        <f>+C65-291331</f>
        <v>283025</v>
      </c>
      <c r="G65" s="22">
        <f>+D65-270261</f>
        <v>286210</v>
      </c>
      <c r="H65" s="24">
        <f>(+F65-G65)/G65</f>
        <v>-0.011128192585863526</v>
      </c>
      <c r="I65" s="25">
        <f>K65/C65</f>
        <v>30.177291314097875</v>
      </c>
      <c r="J65" s="25">
        <f>K65/F65</f>
        <v>61.240202561611156</v>
      </c>
      <c r="K65" s="22">
        <v>17332508.33</v>
      </c>
      <c r="L65" s="22">
        <v>14944876.36</v>
      </c>
      <c r="M65" s="26">
        <f>(+K65-L65)/L65</f>
        <v>0.15976257765440616</v>
      </c>
      <c r="N65" s="11"/>
      <c r="R65" s="2"/>
    </row>
    <row r="66" spans="1:18" ht="15.75" customHeight="1">
      <c r="A66" s="20"/>
      <c r="B66" s="21">
        <f>DATE(2011,8,1)</f>
        <v>40756</v>
      </c>
      <c r="C66" s="22">
        <v>536774</v>
      </c>
      <c r="D66" s="22">
        <v>560447</v>
      </c>
      <c r="E66" s="24">
        <f>(+C66-D66)/D66</f>
        <v>-0.04223949811489757</v>
      </c>
      <c r="F66" s="22">
        <f>+C66-266738</f>
        <v>270036</v>
      </c>
      <c r="G66" s="22">
        <f>+D66-267200</f>
        <v>293247</v>
      </c>
      <c r="H66" s="24">
        <f>(+F66-G66)/G66</f>
        <v>-0.07915170487677624</v>
      </c>
      <c r="I66" s="25">
        <f>K66/C66</f>
        <v>30.832072175626987</v>
      </c>
      <c r="J66" s="25">
        <f>K66/F66</f>
        <v>61.287586506984255</v>
      </c>
      <c r="K66" s="22">
        <v>16549854.71</v>
      </c>
      <c r="L66" s="22">
        <v>14838983.69</v>
      </c>
      <c r="M66" s="26">
        <f>(+K66-L66)/L66</f>
        <v>0.1152957005507701</v>
      </c>
      <c r="N66" s="11"/>
      <c r="R66" s="2"/>
    </row>
    <row r="67" spans="1:18" ht="15.75" customHeight="1">
      <c r="A67" s="20"/>
      <c r="B67" s="21">
        <f>DATE(2011,9,1)</f>
        <v>40787</v>
      </c>
      <c r="C67" s="22">
        <v>527833</v>
      </c>
      <c r="D67" s="22">
        <v>527675</v>
      </c>
      <c r="E67" s="24">
        <f>(+C67-D67)/D67</f>
        <v>0.0002994267304685649</v>
      </c>
      <c r="F67" s="22">
        <f>+C67-269052</f>
        <v>258781</v>
      </c>
      <c r="G67" s="22">
        <f>+D67-255170</f>
        <v>272505</v>
      </c>
      <c r="H67" s="24">
        <f>(+F67-G67)/G67</f>
        <v>-0.05036237867195097</v>
      </c>
      <c r="I67" s="25">
        <f>K67/C67</f>
        <v>30.310123467081446</v>
      </c>
      <c r="J67" s="25">
        <f>K67/F67</f>
        <v>61.82325363917753</v>
      </c>
      <c r="K67" s="22">
        <v>15998683.4</v>
      </c>
      <c r="L67" s="22">
        <v>14245282.99</v>
      </c>
      <c r="M67" s="26">
        <f>(+K67-L67)/L67</f>
        <v>0.12308638664678434</v>
      </c>
      <c r="N67" s="11"/>
      <c r="R67" s="2"/>
    </row>
    <row r="68" spans="1:18" ht="15.75" customHeight="1">
      <c r="A68" s="20"/>
      <c r="B68" s="21">
        <f>DATE(2011,10,1)</f>
        <v>40817</v>
      </c>
      <c r="C68" s="22">
        <v>517403</v>
      </c>
      <c r="D68" s="22">
        <v>522481</v>
      </c>
      <c r="E68" s="24">
        <f>(+C68-D68)/D68</f>
        <v>-0.009719013705761548</v>
      </c>
      <c r="F68" s="22">
        <f>+C68-261510</f>
        <v>255893</v>
      </c>
      <c r="G68" s="22">
        <f>+D68-255026</f>
        <v>267455</v>
      </c>
      <c r="H68" s="24">
        <f>(+F68-G68)/G68</f>
        <v>-0.04322970219289226</v>
      </c>
      <c r="I68" s="25">
        <f>K68/C68</f>
        <v>28.364713598490926</v>
      </c>
      <c r="J68" s="25">
        <f>K68/F68</f>
        <v>57.35204913772554</v>
      </c>
      <c r="K68" s="22">
        <v>14675987.91</v>
      </c>
      <c r="L68" s="22">
        <v>14388198.39</v>
      </c>
      <c r="M68" s="26">
        <f>(+K68-L68)/L68</f>
        <v>0.02000177591379455</v>
      </c>
      <c r="N68" s="11"/>
      <c r="R68" s="2"/>
    </row>
    <row r="69" spans="1:18" ht="15.75" customHeight="1" thickBot="1">
      <c r="A69" s="20"/>
      <c r="B69" s="52"/>
      <c r="C69" s="22"/>
      <c r="D69" s="22"/>
      <c r="E69" s="24"/>
      <c r="F69" s="22"/>
      <c r="G69" s="22"/>
      <c r="H69" s="24"/>
      <c r="I69" s="25"/>
      <c r="J69" s="25"/>
      <c r="K69" s="22"/>
      <c r="L69" s="22"/>
      <c r="M69" s="26"/>
      <c r="N69" s="11"/>
      <c r="R69" s="2"/>
    </row>
    <row r="70" spans="1:18" ht="17.25" thickBot="1" thickTop="1">
      <c r="A70" s="40" t="s">
        <v>14</v>
      </c>
      <c r="B70" s="41"/>
      <c r="C70" s="42">
        <f>SUM(C65:C69)</f>
        <v>2156366</v>
      </c>
      <c r="D70" s="42">
        <f>SUM(D65:D69)</f>
        <v>2167074</v>
      </c>
      <c r="E70" s="43">
        <f>(+C70-D70)/D70</f>
        <v>-0.004941224895873422</v>
      </c>
      <c r="F70" s="42">
        <f>SUM(F65:F69)</f>
        <v>1067735</v>
      </c>
      <c r="G70" s="42">
        <f>SUM(G65:G69)</f>
        <v>1119417</v>
      </c>
      <c r="H70" s="44">
        <f>(+F70-G70)/G70</f>
        <v>-0.04616867530151856</v>
      </c>
      <c r="I70" s="45">
        <f>K70/C70</f>
        <v>29.937883619942067</v>
      </c>
      <c r="J70" s="45">
        <f>K70/F70</f>
        <v>60.46166356820746</v>
      </c>
      <c r="K70" s="42">
        <f>SUM(K65:K69)</f>
        <v>64557034.349999994</v>
      </c>
      <c r="L70" s="42">
        <f>SUM(L65:L69)</f>
        <v>58417341.43</v>
      </c>
      <c r="M70" s="46">
        <f>(+K70-L70)/L70</f>
        <v>0.10510051929283756</v>
      </c>
      <c r="N70" s="11"/>
      <c r="R70" s="2"/>
    </row>
    <row r="71" spans="1:18" ht="15" customHeight="1" thickTop="1">
      <c r="A71" s="66"/>
      <c r="B71" s="67"/>
      <c r="C71" s="67"/>
      <c r="D71" s="67"/>
      <c r="E71" s="68"/>
      <c r="F71" s="67"/>
      <c r="G71" s="67"/>
      <c r="H71" s="68"/>
      <c r="I71" s="67"/>
      <c r="J71" s="67"/>
      <c r="K71" s="219"/>
      <c r="L71" s="219"/>
      <c r="M71" s="69"/>
      <c r="N71" s="11"/>
      <c r="R71" s="2"/>
    </row>
    <row r="72" spans="1:18" ht="15" customHeight="1">
      <c r="A72" s="20" t="s">
        <v>65</v>
      </c>
      <c r="B72" s="21">
        <f>DATE(2011,7,1)</f>
        <v>40725</v>
      </c>
      <c r="C72" s="22">
        <v>103897</v>
      </c>
      <c r="D72" s="22">
        <v>110506</v>
      </c>
      <c r="E72" s="24">
        <f>(+C72-D72)/D72</f>
        <v>-0.05980670732810888</v>
      </c>
      <c r="F72" s="22">
        <f>+C72-53295</f>
        <v>50602</v>
      </c>
      <c r="G72" s="22">
        <f>+D72-57352</f>
        <v>53154</v>
      </c>
      <c r="H72" s="24">
        <f>(+F72-G72)/G72</f>
        <v>-0.0480114384618279</v>
      </c>
      <c r="I72" s="25">
        <f>K72/C72</f>
        <v>32.450921104555476</v>
      </c>
      <c r="J72" s="25">
        <f>K72/F72</f>
        <v>66.62885557883088</v>
      </c>
      <c r="K72" s="22">
        <v>3371553.35</v>
      </c>
      <c r="L72" s="22">
        <v>3333810.36</v>
      </c>
      <c r="M72" s="26">
        <f>(+K72-L72)/L72</f>
        <v>0.011321276834714806</v>
      </c>
      <c r="N72" s="11"/>
      <c r="R72" s="2"/>
    </row>
    <row r="73" spans="1:18" ht="15" customHeight="1">
      <c r="A73" s="20"/>
      <c r="B73" s="21">
        <f>DATE(2011,8,1)</f>
        <v>40756</v>
      </c>
      <c r="C73" s="22">
        <v>92091</v>
      </c>
      <c r="D73" s="22">
        <v>100359</v>
      </c>
      <c r="E73" s="24">
        <f>(+C73-D73)/D73</f>
        <v>-0.08238424057633097</v>
      </c>
      <c r="F73" s="22">
        <f>+C73-47123</f>
        <v>44968</v>
      </c>
      <c r="G73" s="22">
        <f>+D73-51839</f>
        <v>48520</v>
      </c>
      <c r="H73" s="24">
        <f>(+F73-G73)/G73</f>
        <v>-0.07320692497938994</v>
      </c>
      <c r="I73" s="25">
        <f>K73/C73</f>
        <v>32.5866387594879</v>
      </c>
      <c r="J73" s="25">
        <f>K73/F73</f>
        <v>66.73492594734033</v>
      </c>
      <c r="K73" s="22">
        <v>3000936.15</v>
      </c>
      <c r="L73" s="22">
        <v>3020020.08</v>
      </c>
      <c r="M73" s="26">
        <f>(+K73-L73)/L73</f>
        <v>-0.006319140103200958</v>
      </c>
      <c r="N73" s="11"/>
      <c r="R73" s="2"/>
    </row>
    <row r="74" spans="1:18" ht="15" customHeight="1">
      <c r="A74" s="20"/>
      <c r="B74" s="21">
        <f>DATE(2011,9,1)</f>
        <v>40787</v>
      </c>
      <c r="C74" s="22">
        <v>94220</v>
      </c>
      <c r="D74" s="22">
        <v>98495</v>
      </c>
      <c r="E74" s="24">
        <f>(+C74-D74)/D74</f>
        <v>-0.04340321843748414</v>
      </c>
      <c r="F74" s="22">
        <f>+C74-48268</f>
        <v>45952</v>
      </c>
      <c r="G74" s="22">
        <f>+D74-51670</f>
        <v>46825</v>
      </c>
      <c r="H74" s="24">
        <f>(+F74-G74)/G74</f>
        <v>-0.018643886812600107</v>
      </c>
      <c r="I74" s="25">
        <f>K74/C74</f>
        <v>33.32860677138612</v>
      </c>
      <c r="J74" s="25">
        <f>K74/F74</f>
        <v>68.33698924965181</v>
      </c>
      <c r="K74" s="22">
        <v>3140221.33</v>
      </c>
      <c r="L74" s="22">
        <v>3131515.41</v>
      </c>
      <c r="M74" s="26">
        <f>(+K74-L74)/L74</f>
        <v>0.00278009808675983</v>
      </c>
      <c r="N74" s="11"/>
      <c r="R74" s="2"/>
    </row>
    <row r="75" spans="1:18" ht="15" customHeight="1">
      <c r="A75" s="20"/>
      <c r="B75" s="21">
        <f>DATE(2011,10,1)</f>
        <v>40817</v>
      </c>
      <c r="C75" s="22">
        <v>91913</v>
      </c>
      <c r="D75" s="22">
        <v>102552</v>
      </c>
      <c r="E75" s="24">
        <f>(+C75-D75)/D75</f>
        <v>-0.10374249161401046</v>
      </c>
      <c r="F75" s="22">
        <f>+C75-47505</f>
        <v>44408</v>
      </c>
      <c r="G75" s="22">
        <f>+D75-53414</f>
        <v>49138</v>
      </c>
      <c r="H75" s="24">
        <f>(+F75-G75)/G75</f>
        <v>-0.0962595140217347</v>
      </c>
      <c r="I75" s="25">
        <f>K75/C75</f>
        <v>33.47610185719104</v>
      </c>
      <c r="J75" s="25">
        <f>K75/F75</f>
        <v>69.28681656458296</v>
      </c>
      <c r="K75" s="22">
        <v>3076888.95</v>
      </c>
      <c r="L75" s="22">
        <v>3231568.11</v>
      </c>
      <c r="M75" s="26">
        <f>(+K75-L75)/L75</f>
        <v>-0.04786504716436247</v>
      </c>
      <c r="N75" s="11"/>
      <c r="R75" s="2"/>
    </row>
    <row r="76" spans="1:18" ht="15.75" thickBot="1">
      <c r="A76" s="39"/>
      <c r="B76" s="21"/>
      <c r="C76" s="22"/>
      <c r="D76" s="22"/>
      <c r="E76" s="24"/>
      <c r="F76" s="22"/>
      <c r="G76" s="22"/>
      <c r="H76" s="24"/>
      <c r="I76" s="25"/>
      <c r="J76" s="25"/>
      <c r="K76" s="22"/>
      <c r="L76" s="22"/>
      <c r="M76" s="26"/>
      <c r="N76" s="11"/>
      <c r="R76" s="2"/>
    </row>
    <row r="77" spans="1:18" ht="17.25" thickBot="1" thickTop="1">
      <c r="A77" s="70" t="s">
        <v>14</v>
      </c>
      <c r="B77" s="60"/>
      <c r="C77" s="55">
        <f>SUM(C72:C76)</f>
        <v>382121</v>
      </c>
      <c r="D77" s="55">
        <f>SUM(D72:D76)</f>
        <v>411912</v>
      </c>
      <c r="E77" s="43">
        <f>(+C77-D77)/D77</f>
        <v>-0.07232370020781138</v>
      </c>
      <c r="F77" s="55">
        <f>SUM(F72:F76)</f>
        <v>185930</v>
      </c>
      <c r="G77" s="55">
        <f>SUM(G72:G76)</f>
        <v>197637</v>
      </c>
      <c r="H77" s="44">
        <f>(+F77-G77)/G77</f>
        <v>-0.05923485986935645</v>
      </c>
      <c r="I77" s="57">
        <f>K77/C77</f>
        <v>32.94663151200798</v>
      </c>
      <c r="J77" s="57">
        <f>K77/F77</f>
        <v>67.71150314634541</v>
      </c>
      <c r="K77" s="55">
        <f>SUM(K72:K76)</f>
        <v>12589599.780000001</v>
      </c>
      <c r="L77" s="55">
        <f>SUM(L72:L76)</f>
        <v>12716913.959999999</v>
      </c>
      <c r="M77" s="46">
        <f>(+K77-L77)/L77</f>
        <v>-0.010011405314249515</v>
      </c>
      <c r="N77" s="11"/>
      <c r="R77" s="2"/>
    </row>
    <row r="78" spans="1:18" ht="16.5" thickTop="1">
      <c r="A78" s="59"/>
      <c r="B78" s="48"/>
      <c r="C78" s="49"/>
      <c r="D78" s="49"/>
      <c r="E78" s="50"/>
      <c r="F78" s="49"/>
      <c r="G78" s="49"/>
      <c r="H78" s="50"/>
      <c r="I78" s="51"/>
      <c r="J78" s="51"/>
      <c r="K78" s="49"/>
      <c r="L78" s="49"/>
      <c r="M78" s="26"/>
      <c r="N78" s="11"/>
      <c r="R78" s="2"/>
    </row>
    <row r="79" spans="1:18" ht="15.75">
      <c r="A79" s="20" t="s">
        <v>20</v>
      </c>
      <c r="B79" s="21">
        <f>DATE(2011,7,1)</f>
        <v>40725</v>
      </c>
      <c r="C79" s="22">
        <v>666572</v>
      </c>
      <c r="D79" s="22">
        <v>749481</v>
      </c>
      <c r="E79" s="24">
        <f>(+C79-D79)/D79</f>
        <v>-0.1106218836768377</v>
      </c>
      <c r="F79" s="22">
        <f>+C79-338642</f>
        <v>327930</v>
      </c>
      <c r="G79" s="22">
        <f>+D79-367352</f>
        <v>382129</v>
      </c>
      <c r="H79" s="24">
        <f>(+F79-G79)/G79</f>
        <v>-0.141834302028896</v>
      </c>
      <c r="I79" s="25">
        <f>K79/C79</f>
        <v>36.69656298194344</v>
      </c>
      <c r="J79" s="25">
        <f>K79/F79</f>
        <v>74.59183783124448</v>
      </c>
      <c r="K79" s="22">
        <v>24460901.38</v>
      </c>
      <c r="L79" s="22">
        <v>25201803.34</v>
      </c>
      <c r="M79" s="26">
        <f>(+K79-L79)/L79</f>
        <v>-0.029398767620095273</v>
      </c>
      <c r="N79" s="11"/>
      <c r="R79" s="2"/>
    </row>
    <row r="80" spans="1:18" ht="15.75">
      <c r="A80" s="20"/>
      <c r="B80" s="21">
        <f>DATE(2011,8,1)</f>
        <v>40756</v>
      </c>
      <c r="C80" s="22">
        <v>661882</v>
      </c>
      <c r="D80" s="22">
        <v>663205</v>
      </c>
      <c r="E80" s="24">
        <f>(+C80-D80)/D80</f>
        <v>-0.001994858301731742</v>
      </c>
      <c r="F80" s="22">
        <f>+C80-325243</f>
        <v>336639</v>
      </c>
      <c r="G80" s="22">
        <f>+D80-326816</f>
        <v>336389</v>
      </c>
      <c r="H80" s="24">
        <f>(+F80-G80)/G80</f>
        <v>0.0007431872029109157</v>
      </c>
      <c r="I80" s="25">
        <f>K80/C80</f>
        <v>33.56642229279539</v>
      </c>
      <c r="J80" s="25">
        <f>K80/F80</f>
        <v>65.9965444288986</v>
      </c>
      <c r="K80" s="22">
        <v>22217010.72</v>
      </c>
      <c r="L80" s="22">
        <v>22854397.97</v>
      </c>
      <c r="M80" s="26">
        <f>(+K80-L80)/L80</f>
        <v>-0.02788904134935741</v>
      </c>
      <c r="N80" s="11"/>
      <c r="R80" s="2"/>
    </row>
    <row r="81" spans="1:18" ht="15.75">
      <c r="A81" s="20"/>
      <c r="B81" s="21">
        <f>DATE(2011,9,1)</f>
        <v>40787</v>
      </c>
      <c r="C81" s="22">
        <v>621770</v>
      </c>
      <c r="D81" s="22">
        <v>615273</v>
      </c>
      <c r="E81" s="24">
        <f>(+C81-D81)/D81</f>
        <v>0.010559540236610414</v>
      </c>
      <c r="F81" s="22">
        <f>+C81-318009</f>
        <v>303761</v>
      </c>
      <c r="G81" s="22">
        <f>+D81-306224</f>
        <v>309049</v>
      </c>
      <c r="H81" s="24">
        <f>(+F81-G81)/G81</f>
        <v>-0.017110555284113524</v>
      </c>
      <c r="I81" s="25">
        <f>K81/C81</f>
        <v>36.05736569792688</v>
      </c>
      <c r="J81" s="25">
        <f>K81/F81</f>
        <v>73.80601285220946</v>
      </c>
      <c r="K81" s="22">
        <v>22419388.27</v>
      </c>
      <c r="L81" s="22">
        <v>21583601.54</v>
      </c>
      <c r="M81" s="26">
        <f>(+K81-L81)/L81</f>
        <v>0.03872322830140611</v>
      </c>
      <c r="N81" s="11"/>
      <c r="R81" s="2"/>
    </row>
    <row r="82" spans="1:18" ht="15.75">
      <c r="A82" s="20"/>
      <c r="B82" s="21">
        <f>DATE(2011,10,1)</f>
        <v>40817</v>
      </c>
      <c r="C82" s="22">
        <v>591140</v>
      </c>
      <c r="D82" s="22">
        <v>650183</v>
      </c>
      <c r="E82" s="24">
        <f>(+C82-D82)/D82</f>
        <v>-0.09080981815888757</v>
      </c>
      <c r="F82" s="22">
        <f>+C82-300125</f>
        <v>291015</v>
      </c>
      <c r="G82" s="22">
        <f>+D82-329299</f>
        <v>320884</v>
      </c>
      <c r="H82" s="24">
        <f>(+F82-G82)/G82</f>
        <v>-0.0930834818813029</v>
      </c>
      <c r="I82" s="25">
        <f>K82/C82</f>
        <v>37.48695057008492</v>
      </c>
      <c r="J82" s="25">
        <f>K82/F82</f>
        <v>76.14740119925091</v>
      </c>
      <c r="K82" s="22">
        <v>22160035.96</v>
      </c>
      <c r="L82" s="22">
        <v>23468906.72</v>
      </c>
      <c r="M82" s="26">
        <f>(+K82-L82)/L82</f>
        <v>-0.05577041894689494</v>
      </c>
      <c r="N82" s="11"/>
      <c r="R82" s="2"/>
    </row>
    <row r="83" spans="1:18" ht="15.75" thickBot="1">
      <c r="A83" s="39"/>
      <c r="B83" s="52"/>
      <c r="C83" s="22"/>
      <c r="D83" s="22"/>
      <c r="E83" s="24"/>
      <c r="F83" s="22"/>
      <c r="G83" s="22"/>
      <c r="H83" s="24"/>
      <c r="I83" s="25"/>
      <c r="J83" s="25"/>
      <c r="K83" s="22"/>
      <c r="L83" s="22"/>
      <c r="M83" s="26"/>
      <c r="N83" s="11"/>
      <c r="R83" s="2"/>
    </row>
    <row r="84" spans="1:18" ht="17.25" thickBot="1" thickTop="1">
      <c r="A84" s="40" t="s">
        <v>14</v>
      </c>
      <c r="B84" s="41"/>
      <c r="C84" s="42">
        <f>SUM(C79:C83)</f>
        <v>2541364</v>
      </c>
      <c r="D84" s="42">
        <f>SUM(D79:D83)</f>
        <v>2678142</v>
      </c>
      <c r="E84" s="43">
        <f>(+C84-D84)/D84</f>
        <v>-0.051071974525622614</v>
      </c>
      <c r="F84" s="42">
        <f>SUM(F79:F83)</f>
        <v>1259345</v>
      </c>
      <c r="G84" s="42">
        <f>SUM(G79:G83)</f>
        <v>1348451</v>
      </c>
      <c r="H84" s="44">
        <f>(+F84-G84)/G84</f>
        <v>-0.06608026543048283</v>
      </c>
      <c r="I84" s="45">
        <f>K84/C84</f>
        <v>35.90880185994607</v>
      </c>
      <c r="J84" s="45">
        <f>K84/F84</f>
        <v>72.46412724868878</v>
      </c>
      <c r="K84" s="42">
        <f>SUM(K79:K83)</f>
        <v>91257336.32999998</v>
      </c>
      <c r="L84" s="42">
        <f>SUM(L79:L83)</f>
        <v>93108709.57</v>
      </c>
      <c r="M84" s="46">
        <f>(+K84-L84)/L84</f>
        <v>-0.01988399633664915</v>
      </c>
      <c r="N84" s="11"/>
      <c r="R84" s="2"/>
    </row>
    <row r="85" spans="1:18" ht="16.5" thickTop="1">
      <c r="A85" s="59"/>
      <c r="B85" s="48"/>
      <c r="C85" s="49"/>
      <c r="D85" s="49"/>
      <c r="E85" s="50"/>
      <c r="F85" s="49"/>
      <c r="G85" s="49"/>
      <c r="H85" s="50"/>
      <c r="I85" s="51"/>
      <c r="J85" s="51"/>
      <c r="K85" s="49"/>
      <c r="L85" s="49"/>
      <c r="M85" s="26"/>
      <c r="N85" s="11"/>
      <c r="R85" s="2"/>
    </row>
    <row r="86" spans="1:18" ht="15.75">
      <c r="A86" s="20" t="s">
        <v>66</v>
      </c>
      <c r="B86" s="21">
        <f>DATE(2011,7,1)</f>
        <v>40725</v>
      </c>
      <c r="C86" s="22">
        <v>0</v>
      </c>
      <c r="D86" s="22">
        <v>118468</v>
      </c>
      <c r="E86" s="24">
        <f>(+C86-D86)/D86</f>
        <v>-1</v>
      </c>
      <c r="F86" s="22">
        <f>+C86-0</f>
        <v>0</v>
      </c>
      <c r="G86" s="22">
        <f>+D86-60257</f>
        <v>58211</v>
      </c>
      <c r="H86" s="24">
        <f>(+F86-G86)/G86</f>
        <v>-1</v>
      </c>
      <c r="I86" s="25">
        <v>0</v>
      </c>
      <c r="J86" s="25">
        <v>0</v>
      </c>
      <c r="K86" s="22">
        <v>0</v>
      </c>
      <c r="L86" s="22">
        <v>3552145.48</v>
      </c>
      <c r="M86" s="26">
        <f>(+K86-L86)/L86</f>
        <v>-1</v>
      </c>
      <c r="N86" s="11"/>
      <c r="R86" s="2"/>
    </row>
    <row r="87" spans="1:18" ht="15.75">
      <c r="A87" s="20"/>
      <c r="B87" s="21">
        <f>DATE(2011,8,1)</f>
        <v>40756</v>
      </c>
      <c r="C87" s="22">
        <v>0</v>
      </c>
      <c r="D87" s="22">
        <v>114324</v>
      </c>
      <c r="E87" s="24">
        <f>(+C87-D87)/D87</f>
        <v>-1</v>
      </c>
      <c r="F87" s="22">
        <v>0</v>
      </c>
      <c r="G87" s="22">
        <f>+D87-57817</f>
        <v>56507</v>
      </c>
      <c r="H87" s="24">
        <f>(+F87-G87)/G87</f>
        <v>-1</v>
      </c>
      <c r="I87" s="25">
        <v>0</v>
      </c>
      <c r="J87" s="25">
        <v>0</v>
      </c>
      <c r="K87" s="22">
        <v>0</v>
      </c>
      <c r="L87" s="22">
        <v>3241678.1</v>
      </c>
      <c r="M87" s="26">
        <f>(+K87-L87)/L87</f>
        <v>-1</v>
      </c>
      <c r="N87" s="11"/>
      <c r="R87" s="2"/>
    </row>
    <row r="88" spans="1:18" ht="15.75">
      <c r="A88" s="20"/>
      <c r="B88" s="21">
        <f>DATE(2011,9,1)</f>
        <v>40787</v>
      </c>
      <c r="C88" s="22">
        <v>10933</v>
      </c>
      <c r="D88" s="22">
        <v>109224</v>
      </c>
      <c r="E88" s="24">
        <f>(+C88-D88)/D88</f>
        <v>-0.89990295173222</v>
      </c>
      <c r="F88" s="22">
        <f>+C88-5465</f>
        <v>5468</v>
      </c>
      <c r="G88" s="22">
        <f>+D88-55441</f>
        <v>53783</v>
      </c>
      <c r="H88" s="24">
        <f>(+F88-G88)/G88</f>
        <v>-0.8983321867504602</v>
      </c>
      <c r="I88" s="25">
        <f>K88/C88</f>
        <v>32.67371901582366</v>
      </c>
      <c r="J88" s="25">
        <f>K88/F88</f>
        <v>65.32951170446233</v>
      </c>
      <c r="K88" s="22">
        <v>357221.77</v>
      </c>
      <c r="L88" s="22">
        <v>3235468.85</v>
      </c>
      <c r="M88" s="26">
        <f>(+K88-L88)/L88</f>
        <v>-0.8895919613010645</v>
      </c>
      <c r="N88" s="11"/>
      <c r="R88" s="2"/>
    </row>
    <row r="89" spans="1:18" ht="15.75">
      <c r="A89" s="20"/>
      <c r="B89" s="21">
        <f>DATE(2011,10,1)</f>
        <v>40817</v>
      </c>
      <c r="C89" s="22">
        <v>114753</v>
      </c>
      <c r="D89" s="22">
        <v>113407</v>
      </c>
      <c r="E89" s="24">
        <f>(+C89-D89)/D89</f>
        <v>0.011868755896902308</v>
      </c>
      <c r="F89" s="22">
        <f>+C89-57879</f>
        <v>56874</v>
      </c>
      <c r="G89" s="22">
        <f>+D89-57546</f>
        <v>55861</v>
      </c>
      <c r="H89" s="24">
        <f>(+F89-G89)/G89</f>
        <v>0.018134297631621346</v>
      </c>
      <c r="I89" s="25">
        <f>K89/C89</f>
        <v>31.471505842984495</v>
      </c>
      <c r="J89" s="25">
        <f>K89/F89</f>
        <v>63.499133347399514</v>
      </c>
      <c r="K89" s="22">
        <v>3611449.71</v>
      </c>
      <c r="L89" s="22">
        <v>3362545.61</v>
      </c>
      <c r="M89" s="26">
        <f>(+K89-L89)/L89</f>
        <v>0.07402252009899134</v>
      </c>
      <c r="N89" s="11"/>
      <c r="R89" s="2"/>
    </row>
    <row r="90" spans="1:18" ht="15.75" thickBot="1">
      <c r="A90" s="39"/>
      <c r="B90" s="52"/>
      <c r="C90" s="22"/>
      <c r="D90" s="22"/>
      <c r="E90" s="24"/>
      <c r="F90" s="22"/>
      <c r="G90" s="22"/>
      <c r="H90" s="24"/>
      <c r="I90" s="25"/>
      <c r="J90" s="25"/>
      <c r="K90" s="22"/>
      <c r="L90" s="22"/>
      <c r="M90" s="26"/>
      <c r="N90" s="11"/>
      <c r="R90" s="2"/>
    </row>
    <row r="91" spans="1:18" ht="17.25" thickBot="1" thickTop="1">
      <c r="A91" s="27" t="s">
        <v>14</v>
      </c>
      <c r="B91" s="28"/>
      <c r="C91" s="29">
        <f>SUM(C86:C90)</f>
        <v>125686</v>
      </c>
      <c r="D91" s="29">
        <f>SUM(D86:D90)</f>
        <v>455423</v>
      </c>
      <c r="E91" s="30">
        <f>(+C91-D91)/D91</f>
        <v>-0.7240236000377671</v>
      </c>
      <c r="F91" s="29">
        <f>SUM(F86:F90)</f>
        <v>62342</v>
      </c>
      <c r="G91" s="29">
        <f>SUM(G86:G90)</f>
        <v>224362</v>
      </c>
      <c r="H91" s="31">
        <f>(+F91-G91)/G91</f>
        <v>-0.722136547187135</v>
      </c>
      <c r="I91" s="32">
        <v>0</v>
      </c>
      <c r="J91" s="32">
        <v>0</v>
      </c>
      <c r="K91" s="29">
        <f>SUM(K86:K90)</f>
        <v>3968671.48</v>
      </c>
      <c r="L91" s="29">
        <f>SUM(L86:L90)</f>
        <v>13391838.04</v>
      </c>
      <c r="M91" s="33">
        <f>(+K91-L91)/L91</f>
        <v>-0.7036499793272589</v>
      </c>
      <c r="N91" s="11"/>
      <c r="R91" s="2"/>
    </row>
    <row r="92" spans="1:18" ht="16.5" thickBot="1" thickTop="1">
      <c r="A92" s="71"/>
      <c r="B92" s="35"/>
      <c r="C92" s="36"/>
      <c r="D92" s="36"/>
      <c r="E92" s="30"/>
      <c r="F92" s="36"/>
      <c r="G92" s="36"/>
      <c r="H92" s="30"/>
      <c r="I92" s="37"/>
      <c r="J92" s="37"/>
      <c r="K92" s="36"/>
      <c r="L92" s="36"/>
      <c r="M92" s="38"/>
      <c r="N92" s="11"/>
      <c r="R92" s="2"/>
    </row>
    <row r="93" spans="1:18" ht="17.25" thickBot="1" thickTop="1">
      <c r="A93" s="72" t="s">
        <v>21</v>
      </c>
      <c r="B93" s="73"/>
      <c r="C93" s="29">
        <f>C91+C84+C42+C49+C56+C28+C14+C63+C70+C35+C77+C21</f>
        <v>17601173</v>
      </c>
      <c r="D93" s="29">
        <f>D91+D84+D42+D49+D56+D28+D14+D63+D70+D35+D77+D21</f>
        <v>18982671</v>
      </c>
      <c r="E93" s="30">
        <f>(+C93-D93)/D93</f>
        <v>-0.07277679732214713</v>
      </c>
      <c r="F93" s="29">
        <f>F91+F84+F42+F49+F56+F28+F14+F63+F70+F35+F77+F21</f>
        <v>8734887</v>
      </c>
      <c r="G93" s="29">
        <f>G91+G84+G42+G49+G56+G28+G14+G63+G70+G35+G77+G21</f>
        <v>9381202</v>
      </c>
      <c r="H93" s="31">
        <f>(+F93-G93)/G93</f>
        <v>-0.06889468961440122</v>
      </c>
      <c r="I93" s="32">
        <f>K93/C93</f>
        <v>33.79644062358798</v>
      </c>
      <c r="J93" s="32">
        <f>K93/F93</f>
        <v>68.10128147049869</v>
      </c>
      <c r="K93" s="29">
        <f>K91+K84+K42+K49+K56+K28+K14+K63+K70+K35+K77+K21</f>
        <v>594856998.1999999</v>
      </c>
      <c r="L93" s="29">
        <f>L91+L84+L42+L49+L56+L28+L14+L63+L70+L35+L77+L21</f>
        <v>607175874.1200001</v>
      </c>
      <c r="M93" s="33">
        <f>(+K93-L93)/L93</f>
        <v>-0.020288809956183363</v>
      </c>
      <c r="N93" s="11"/>
      <c r="R93" s="2"/>
    </row>
    <row r="94" spans="1:18" ht="17.25" thickBot="1" thickTop="1">
      <c r="A94" s="72"/>
      <c r="B94" s="73"/>
      <c r="C94" s="29"/>
      <c r="D94" s="29"/>
      <c r="E94" s="30"/>
      <c r="F94" s="29"/>
      <c r="G94" s="29"/>
      <c r="H94" s="31"/>
      <c r="I94" s="32"/>
      <c r="J94" s="32"/>
      <c r="K94" s="29"/>
      <c r="L94" s="29"/>
      <c r="M94" s="33"/>
      <c r="N94" s="11"/>
      <c r="R94" s="2"/>
    </row>
    <row r="95" spans="1:18" ht="17.25" thickBot="1" thickTop="1">
      <c r="A95" s="72" t="s">
        <v>22</v>
      </c>
      <c r="B95" s="73"/>
      <c r="C95" s="29">
        <f>+C12+C19+C26+C33+C40+C47+C54+C61+C68+C75+C82+C89</f>
        <v>4295721</v>
      </c>
      <c r="D95" s="29">
        <f>+D12+D19+D26+D33+D40+D47+D54+D61+D68+D75+D82+D89</f>
        <v>4628255</v>
      </c>
      <c r="E95" s="30">
        <f>(+C95-D95)/D95</f>
        <v>-0.07184867730926667</v>
      </c>
      <c r="F95" s="29">
        <f>+F12+F19+F26+F33+F40+F47+F54+F61+F68+F75+F82+F89</f>
        <v>2126426</v>
      </c>
      <c r="G95" s="29">
        <f>+G12+G19+G26+G33+G40+G47+G54+G61+G68+G75+G82+G89</f>
        <v>2266153</v>
      </c>
      <c r="H95" s="31">
        <f>(+F95-G95)/G95</f>
        <v>-0.061658237550597864</v>
      </c>
      <c r="I95" s="32">
        <f>K95/C95</f>
        <v>34.1188695494889</v>
      </c>
      <c r="J95" s="32">
        <f>K95/F95</f>
        <v>68.92557954991146</v>
      </c>
      <c r="K95" s="29">
        <f>+K12+K19+K26+K33+K40+K47+K54+K61+K68+K75+K82+K89</f>
        <v>146565144.42000002</v>
      </c>
      <c r="L95" s="29">
        <f>+L12+L19+L26+L33+L40+L47+L54+L61+L68+L75+L82+L89</f>
        <v>151787649.17000002</v>
      </c>
      <c r="M95" s="46">
        <f>(+K95-L95)/L95</f>
        <v>-0.03440665151978781</v>
      </c>
      <c r="N95" s="11"/>
      <c r="R95" s="2"/>
    </row>
    <row r="96" spans="1:18" ht="15.75" thickTop="1">
      <c r="A96" s="74"/>
      <c r="B96" s="75"/>
      <c r="C96" s="76"/>
      <c r="D96" s="75"/>
      <c r="E96" s="75"/>
      <c r="F96" s="75"/>
      <c r="G96" s="75"/>
      <c r="H96" s="75"/>
      <c r="I96" s="75"/>
      <c r="J96" s="75"/>
      <c r="K96" s="76"/>
      <c r="L96" s="76"/>
      <c r="M96" s="75"/>
      <c r="R96" s="2"/>
    </row>
    <row r="97" spans="1:18" ht="15.75">
      <c r="A97" s="282" t="s">
        <v>67</v>
      </c>
      <c r="B97" s="284"/>
      <c r="C97" s="285"/>
      <c r="D97" s="285"/>
      <c r="E97" s="285"/>
      <c r="F97" s="286"/>
      <c r="G97" s="283"/>
      <c r="H97" s="283"/>
      <c r="I97" s="287"/>
      <c r="J97" s="287"/>
      <c r="K97" s="288"/>
      <c r="L97" s="288"/>
      <c r="M97" s="287"/>
      <c r="R97" s="2"/>
    </row>
    <row r="98" spans="1:18" ht="15.75">
      <c r="A98" s="282" t="s">
        <v>68</v>
      </c>
      <c r="B98" s="284"/>
      <c r="C98" s="285"/>
      <c r="D98" s="285"/>
      <c r="E98" s="285"/>
      <c r="F98" s="286"/>
      <c r="G98" s="283"/>
      <c r="H98" s="283"/>
      <c r="I98" s="287"/>
      <c r="J98" s="287"/>
      <c r="K98" s="288"/>
      <c r="L98" s="288"/>
      <c r="M98" s="287"/>
      <c r="R98" s="2"/>
    </row>
    <row r="99" spans="1:18" ht="15.75">
      <c r="A99" s="282" t="s">
        <v>69</v>
      </c>
      <c r="B99" s="284"/>
      <c r="C99" s="285"/>
      <c r="D99" s="285"/>
      <c r="E99" s="285"/>
      <c r="F99" s="286"/>
      <c r="G99" s="283"/>
      <c r="H99" s="283"/>
      <c r="I99" s="287"/>
      <c r="J99" s="287"/>
      <c r="K99" s="288"/>
      <c r="L99" s="288"/>
      <c r="M99" s="287"/>
      <c r="R99" s="2"/>
    </row>
    <row r="100" spans="1:18" ht="18.75">
      <c r="A100" s="292" t="s">
        <v>23</v>
      </c>
      <c r="B100" s="78"/>
      <c r="C100" s="79"/>
      <c r="D100" s="79"/>
      <c r="E100" s="79"/>
      <c r="F100" s="79"/>
      <c r="G100" s="79"/>
      <c r="H100" s="79"/>
      <c r="I100" s="79"/>
      <c r="J100" s="79"/>
      <c r="K100" s="220"/>
      <c r="L100" s="220"/>
      <c r="M100" s="79"/>
      <c r="N100" s="2"/>
      <c r="O100" s="2"/>
      <c r="P100" s="2"/>
      <c r="Q100" s="2"/>
      <c r="R100" s="2"/>
    </row>
    <row r="101" spans="1:18" ht="18">
      <c r="A101" s="77"/>
      <c r="B101" s="78"/>
      <c r="C101" s="79"/>
      <c r="D101" s="79"/>
      <c r="E101" s="79"/>
      <c r="F101" s="79"/>
      <c r="G101" s="79"/>
      <c r="H101" s="79"/>
      <c r="I101" s="79"/>
      <c r="J101" s="79"/>
      <c r="K101" s="220"/>
      <c r="L101" s="220"/>
      <c r="M101" s="79"/>
      <c r="N101" s="2"/>
      <c r="O101" s="2"/>
      <c r="P101" s="2"/>
      <c r="Q101" s="2"/>
      <c r="R101" s="2"/>
    </row>
    <row r="102" spans="1:18" ht="15.75">
      <c r="A102" s="80"/>
      <c r="B102" s="81"/>
      <c r="C102" s="82"/>
      <c r="D102" s="82"/>
      <c r="E102" s="82"/>
      <c r="F102" s="82"/>
      <c r="G102" s="82"/>
      <c r="H102" s="82"/>
      <c r="I102" s="82"/>
      <c r="J102" s="82"/>
      <c r="K102" s="214"/>
      <c r="L102" s="214"/>
      <c r="M102" s="83"/>
      <c r="N102" s="2"/>
      <c r="O102" s="2"/>
      <c r="P102" s="2"/>
      <c r="Q102" s="2"/>
      <c r="R102" s="2"/>
    </row>
    <row r="103" spans="1:18" ht="15">
      <c r="A103" s="2"/>
      <c r="B103" s="81"/>
      <c r="C103" s="82"/>
      <c r="D103" s="82"/>
      <c r="E103" s="82"/>
      <c r="F103" s="82"/>
      <c r="G103" s="82"/>
      <c r="H103" s="82"/>
      <c r="I103" s="82"/>
      <c r="J103" s="82"/>
      <c r="K103" s="214"/>
      <c r="L103" s="214"/>
      <c r="M103" s="83"/>
      <c r="N103" s="2"/>
      <c r="O103" s="2"/>
      <c r="P103" s="2"/>
      <c r="Q103" s="2"/>
      <c r="R103" s="2"/>
    </row>
    <row r="104" spans="1:18" ht="15">
      <c r="A104" s="2"/>
      <c r="B104" s="81"/>
      <c r="C104" s="82"/>
      <c r="D104" s="82"/>
      <c r="E104" s="82"/>
      <c r="F104" s="82"/>
      <c r="G104" s="82"/>
      <c r="H104" s="82"/>
      <c r="I104" s="82"/>
      <c r="J104" s="82"/>
      <c r="K104" s="214"/>
      <c r="L104" s="214"/>
      <c r="M104" s="83"/>
      <c r="N104" s="2"/>
      <c r="O104" s="2"/>
      <c r="P104" s="2"/>
      <c r="Q104" s="2"/>
      <c r="R104" s="2"/>
    </row>
    <row r="105" spans="1:18" ht="15">
      <c r="A105" s="2"/>
      <c r="B105" s="81"/>
      <c r="C105" s="82"/>
      <c r="D105" s="82"/>
      <c r="E105" s="82"/>
      <c r="F105" s="82"/>
      <c r="G105" s="82"/>
      <c r="H105" s="82"/>
      <c r="I105" s="82"/>
      <c r="J105" s="82"/>
      <c r="K105" s="214"/>
      <c r="L105" s="214"/>
      <c r="M105" s="83"/>
      <c r="N105" s="2"/>
      <c r="O105" s="2"/>
      <c r="P105" s="2"/>
      <c r="Q105" s="2"/>
      <c r="R105" s="2"/>
    </row>
    <row r="106" spans="1:18" ht="15">
      <c r="A106" s="2"/>
      <c r="B106" s="81"/>
      <c r="C106" s="82"/>
      <c r="D106" s="82"/>
      <c r="E106" s="82"/>
      <c r="F106" s="82"/>
      <c r="G106" s="82"/>
      <c r="H106" s="82"/>
      <c r="I106" s="82"/>
      <c r="J106" s="82"/>
      <c r="K106" s="214"/>
      <c r="L106" s="214"/>
      <c r="M106" s="83"/>
      <c r="N106" s="2"/>
      <c r="O106" s="2"/>
      <c r="P106" s="2"/>
      <c r="Q106" s="2"/>
      <c r="R106" s="2"/>
    </row>
    <row r="107" spans="1:18" ht="15">
      <c r="A107" s="2"/>
      <c r="B107" s="81"/>
      <c r="C107" s="82"/>
      <c r="D107" s="82"/>
      <c r="E107" s="82"/>
      <c r="F107" s="82"/>
      <c r="G107" s="82"/>
      <c r="H107" s="82"/>
      <c r="I107" s="82"/>
      <c r="J107" s="82"/>
      <c r="K107" s="214"/>
      <c r="L107" s="214"/>
      <c r="M107" s="83"/>
      <c r="N107" s="2"/>
      <c r="O107" s="2"/>
      <c r="P107" s="2"/>
      <c r="Q107" s="2"/>
      <c r="R107" s="2"/>
    </row>
    <row r="108" spans="1:18" ht="15">
      <c r="A108" s="2"/>
      <c r="B108" s="81"/>
      <c r="C108" s="82"/>
      <c r="D108" s="82"/>
      <c r="E108" s="82"/>
      <c r="F108" s="82"/>
      <c r="G108" s="82"/>
      <c r="H108" s="82"/>
      <c r="I108" s="82"/>
      <c r="J108" s="82"/>
      <c r="K108" s="214"/>
      <c r="L108" s="214"/>
      <c r="M108" s="83"/>
      <c r="N108" s="2"/>
      <c r="O108" s="2"/>
      <c r="P108" s="2"/>
      <c r="Q108" s="2"/>
      <c r="R108" s="2"/>
    </row>
    <row r="109" spans="1:18" ht="15">
      <c r="A109" s="2"/>
      <c r="B109" s="81"/>
      <c r="C109" s="82"/>
      <c r="D109" s="82"/>
      <c r="E109" s="82"/>
      <c r="F109" s="82"/>
      <c r="G109" s="82"/>
      <c r="H109" s="82"/>
      <c r="I109" s="82"/>
      <c r="J109" s="82"/>
      <c r="K109" s="214"/>
      <c r="L109" s="214"/>
      <c r="M109" s="83"/>
      <c r="N109" s="2"/>
      <c r="O109" s="2"/>
      <c r="P109" s="2"/>
      <c r="Q109" s="2"/>
      <c r="R109" s="2"/>
    </row>
    <row r="110" spans="1:18" ht="15">
      <c r="A110" s="2"/>
      <c r="B110" s="81"/>
      <c r="C110" s="82"/>
      <c r="D110" s="82"/>
      <c r="E110" s="82"/>
      <c r="F110" s="82"/>
      <c r="G110" s="82"/>
      <c r="H110" s="82"/>
      <c r="I110" s="82"/>
      <c r="J110" s="82"/>
      <c r="K110" s="214"/>
      <c r="L110" s="214"/>
      <c r="M110" s="83"/>
      <c r="N110" s="2"/>
      <c r="O110" s="2"/>
      <c r="P110" s="2"/>
      <c r="Q110" s="2"/>
      <c r="R110" s="2"/>
    </row>
    <row r="111" spans="1:18" ht="15">
      <c r="A111" s="2"/>
      <c r="B111" s="81"/>
      <c r="C111" s="82"/>
      <c r="D111" s="82"/>
      <c r="E111" s="82"/>
      <c r="F111" s="82"/>
      <c r="G111" s="82"/>
      <c r="H111" s="82"/>
      <c r="I111" s="82"/>
      <c r="J111" s="82"/>
      <c r="K111" s="214"/>
      <c r="L111" s="214"/>
      <c r="M111" s="82"/>
      <c r="N111" s="2"/>
      <c r="O111" s="2"/>
      <c r="P111" s="2"/>
      <c r="Q111" s="2"/>
      <c r="R111" s="2"/>
    </row>
    <row r="112" spans="1:18" ht="15">
      <c r="A112" s="2"/>
      <c r="B112" s="81"/>
      <c r="C112" s="82"/>
      <c r="D112" s="82"/>
      <c r="E112" s="82"/>
      <c r="F112" s="82"/>
      <c r="G112" s="82"/>
      <c r="H112" s="82"/>
      <c r="I112" s="82"/>
      <c r="J112" s="82"/>
      <c r="K112" s="214"/>
      <c r="L112" s="214"/>
      <c r="M112" s="82"/>
      <c r="N112" s="2"/>
      <c r="O112" s="2"/>
      <c r="P112" s="2"/>
      <c r="Q112" s="2"/>
      <c r="R112" s="2"/>
    </row>
    <row r="113" spans="1:18" ht="15">
      <c r="A113" s="2"/>
      <c r="B113" s="78"/>
      <c r="C113" s="82"/>
      <c r="D113" s="82"/>
      <c r="E113" s="82"/>
      <c r="F113" s="82"/>
      <c r="G113" s="82"/>
      <c r="H113" s="82"/>
      <c r="I113" s="82"/>
      <c r="J113" s="82"/>
      <c r="K113" s="214"/>
      <c r="L113" s="214"/>
      <c r="M113" s="82"/>
      <c r="N113" s="2"/>
      <c r="O113" s="2"/>
      <c r="P113" s="2"/>
      <c r="Q113" s="2"/>
      <c r="R113" s="2"/>
    </row>
    <row r="114" spans="1:18" ht="15.75">
      <c r="A114" s="84"/>
      <c r="B114" s="78"/>
      <c r="C114" s="82"/>
      <c r="D114" s="82"/>
      <c r="E114" s="82"/>
      <c r="F114" s="82"/>
      <c r="G114" s="82"/>
      <c r="H114" s="82"/>
      <c r="I114" s="82"/>
      <c r="J114" s="82"/>
      <c r="K114" s="214"/>
      <c r="L114" s="214"/>
      <c r="M114" s="83"/>
      <c r="N114" s="2"/>
      <c r="O114" s="2"/>
      <c r="P114" s="2"/>
      <c r="Q114" s="2"/>
      <c r="R114" s="2"/>
    </row>
    <row r="115" spans="1:18" ht="15.75">
      <c r="A115" s="84"/>
      <c r="B115" s="78"/>
      <c r="C115" s="82"/>
      <c r="D115" s="82"/>
      <c r="E115" s="82"/>
      <c r="F115" s="82"/>
      <c r="G115" s="82"/>
      <c r="H115" s="82"/>
      <c r="I115" s="82"/>
      <c r="J115" s="82"/>
      <c r="K115" s="214"/>
      <c r="L115" s="214"/>
      <c r="M115" s="83"/>
      <c r="N115" s="2"/>
      <c r="O115" s="2"/>
      <c r="P115" s="2"/>
      <c r="Q115" s="2"/>
      <c r="R115" s="2"/>
    </row>
    <row r="116" spans="1:18" ht="15.75">
      <c r="A116" s="84"/>
      <c r="B116" s="78"/>
      <c r="C116" s="82"/>
      <c r="D116" s="82"/>
      <c r="E116" s="82"/>
      <c r="F116" s="82"/>
      <c r="G116" s="82"/>
      <c r="H116" s="82"/>
      <c r="I116" s="82"/>
      <c r="J116" s="82"/>
      <c r="K116" s="214"/>
      <c r="L116" s="214"/>
      <c r="M116" s="83"/>
      <c r="N116" s="2"/>
      <c r="O116" s="2"/>
      <c r="P116" s="2"/>
      <c r="Q116" s="2"/>
      <c r="R116" s="2"/>
    </row>
    <row r="117" spans="1:18" ht="15">
      <c r="A117" s="2"/>
      <c r="B117" s="78"/>
      <c r="C117" s="82"/>
      <c r="D117" s="82"/>
      <c r="E117" s="82"/>
      <c r="F117" s="82"/>
      <c r="G117" s="82"/>
      <c r="H117" s="82"/>
      <c r="I117" s="82"/>
      <c r="J117" s="82"/>
      <c r="K117" s="214"/>
      <c r="L117" s="214"/>
      <c r="M117" s="83"/>
      <c r="N117" s="2"/>
      <c r="O117" s="2"/>
      <c r="P117" s="2"/>
      <c r="Q117" s="2"/>
      <c r="R117" s="2"/>
    </row>
    <row r="118" spans="1:18" ht="15.75">
      <c r="A118" s="84"/>
      <c r="B118" s="81"/>
      <c r="C118" s="82"/>
      <c r="D118" s="82"/>
      <c r="E118" s="82"/>
      <c r="F118" s="82"/>
      <c r="G118" s="82"/>
      <c r="H118" s="82"/>
      <c r="I118" s="82"/>
      <c r="J118" s="82"/>
      <c r="K118" s="214"/>
      <c r="L118" s="214"/>
      <c r="M118" s="83"/>
      <c r="N118" s="2"/>
      <c r="O118" s="2"/>
      <c r="P118" s="2"/>
      <c r="Q118" s="2"/>
      <c r="R118" s="2"/>
    </row>
    <row r="119" spans="1:18" ht="15">
      <c r="A119" s="2"/>
      <c r="B119" s="81"/>
      <c r="C119" s="82"/>
      <c r="D119" s="82"/>
      <c r="E119" s="82"/>
      <c r="F119" s="82"/>
      <c r="G119" s="82"/>
      <c r="H119" s="82"/>
      <c r="I119" s="82"/>
      <c r="J119" s="82"/>
      <c r="K119" s="214"/>
      <c r="L119" s="214"/>
      <c r="M119" s="83"/>
      <c r="N119" s="2"/>
      <c r="O119" s="2"/>
      <c r="P119" s="2"/>
      <c r="Q119" s="2"/>
      <c r="R119" s="2"/>
    </row>
    <row r="120" spans="1:18" ht="15">
      <c r="A120" s="2"/>
      <c r="B120" s="81"/>
      <c r="C120" s="82"/>
      <c r="D120" s="82"/>
      <c r="E120" s="82"/>
      <c r="F120" s="82"/>
      <c r="G120" s="82"/>
      <c r="H120" s="82"/>
      <c r="I120" s="82"/>
      <c r="J120" s="82"/>
      <c r="K120" s="214"/>
      <c r="L120" s="214"/>
      <c r="M120" s="83"/>
      <c r="N120" s="2"/>
      <c r="O120" s="2"/>
      <c r="P120" s="2"/>
      <c r="Q120" s="2"/>
      <c r="R120" s="2"/>
    </row>
    <row r="121" spans="1:18" ht="15">
      <c r="A121" s="2"/>
      <c r="B121" s="85"/>
      <c r="C121" s="82"/>
      <c r="D121" s="82"/>
      <c r="E121" s="82"/>
      <c r="F121" s="82"/>
      <c r="G121" s="82"/>
      <c r="H121" s="82"/>
      <c r="I121" s="82"/>
      <c r="J121" s="82"/>
      <c r="K121" s="214"/>
      <c r="L121" s="214"/>
      <c r="M121" s="83"/>
      <c r="N121" s="2"/>
      <c r="O121" s="2"/>
      <c r="P121" s="2"/>
      <c r="Q121" s="2"/>
      <c r="R121" s="2"/>
    </row>
    <row r="122" spans="1:18" ht="15">
      <c r="A122" s="2"/>
      <c r="B122" s="85"/>
      <c r="C122" s="82"/>
      <c r="D122" s="82"/>
      <c r="E122" s="82"/>
      <c r="F122" s="82"/>
      <c r="G122" s="82"/>
      <c r="H122" s="82"/>
      <c r="I122" s="82"/>
      <c r="J122" s="82"/>
      <c r="K122" s="214"/>
      <c r="L122" s="214"/>
      <c r="M122" s="83"/>
      <c r="N122" s="2"/>
      <c r="O122" s="2"/>
      <c r="P122" s="2"/>
      <c r="Q122" s="2"/>
      <c r="R122" s="2"/>
    </row>
    <row r="123" spans="1:18" ht="15">
      <c r="A123" s="2"/>
      <c r="B123" s="85"/>
      <c r="C123" s="82"/>
      <c r="D123" s="82"/>
      <c r="E123" s="82"/>
      <c r="F123" s="82"/>
      <c r="G123" s="82"/>
      <c r="H123" s="82"/>
      <c r="I123" s="82"/>
      <c r="J123" s="82"/>
      <c r="K123" s="214"/>
      <c r="L123" s="214"/>
      <c r="M123" s="83"/>
      <c r="N123" s="2"/>
      <c r="O123" s="2"/>
      <c r="P123" s="2"/>
      <c r="Q123" s="2"/>
      <c r="R123" s="2"/>
    </row>
    <row r="124" spans="1:18" ht="15">
      <c r="A124" s="2"/>
      <c r="B124" s="85"/>
      <c r="C124" s="82"/>
      <c r="D124" s="82"/>
      <c r="E124" s="82"/>
      <c r="F124" s="82"/>
      <c r="G124" s="82"/>
      <c r="H124" s="82"/>
      <c r="I124" s="82"/>
      <c r="J124" s="82"/>
      <c r="K124" s="214"/>
      <c r="L124" s="214"/>
      <c r="M124" s="83"/>
      <c r="N124" s="2"/>
      <c r="O124" s="2"/>
      <c r="P124" s="2"/>
      <c r="Q124" s="2"/>
      <c r="R124" s="2"/>
    </row>
    <row r="125" spans="1:18" ht="15">
      <c r="A125" s="2"/>
      <c r="B125" s="85"/>
      <c r="C125" s="82"/>
      <c r="D125" s="82"/>
      <c r="E125" s="82"/>
      <c r="F125" s="82"/>
      <c r="G125" s="82"/>
      <c r="H125" s="82"/>
      <c r="I125" s="82"/>
      <c r="J125" s="82"/>
      <c r="K125" s="214"/>
      <c r="L125" s="214"/>
      <c r="M125" s="83"/>
      <c r="N125" s="2"/>
      <c r="O125" s="2"/>
      <c r="P125" s="2"/>
      <c r="Q125" s="2"/>
      <c r="R125" s="2"/>
    </row>
    <row r="126" spans="1:18" ht="15">
      <c r="A126" s="2"/>
      <c r="B126" s="85"/>
      <c r="C126" s="82"/>
      <c r="D126" s="82"/>
      <c r="E126" s="82"/>
      <c r="F126" s="82"/>
      <c r="G126" s="82"/>
      <c r="H126" s="82"/>
      <c r="I126" s="82"/>
      <c r="J126" s="82"/>
      <c r="K126" s="214"/>
      <c r="L126" s="214"/>
      <c r="M126" s="83"/>
      <c r="N126" s="2"/>
      <c r="O126" s="2"/>
      <c r="P126" s="2"/>
      <c r="Q126" s="2"/>
      <c r="R126" s="2"/>
    </row>
    <row r="127" spans="1:18" ht="15">
      <c r="A127" s="2"/>
      <c r="B127" s="85"/>
      <c r="C127" s="82"/>
      <c r="D127" s="82"/>
      <c r="E127" s="82"/>
      <c r="F127" s="82"/>
      <c r="G127" s="82"/>
      <c r="H127" s="82"/>
      <c r="I127" s="82"/>
      <c r="J127" s="82"/>
      <c r="K127" s="214"/>
      <c r="L127" s="214"/>
      <c r="M127" s="83"/>
      <c r="N127" s="2"/>
      <c r="O127" s="2"/>
      <c r="P127" s="2"/>
      <c r="Q127" s="2"/>
      <c r="R127" s="2"/>
    </row>
    <row r="128" spans="1:18" ht="15">
      <c r="A128" s="2"/>
      <c r="B128" s="85"/>
      <c r="C128" s="82"/>
      <c r="D128" s="82"/>
      <c r="E128" s="82"/>
      <c r="F128" s="82"/>
      <c r="G128" s="82"/>
      <c r="H128" s="82"/>
      <c r="I128" s="82"/>
      <c r="J128" s="82"/>
      <c r="K128" s="214"/>
      <c r="L128" s="214"/>
      <c r="M128" s="83"/>
      <c r="N128" s="2"/>
      <c r="O128" s="2"/>
      <c r="P128" s="2"/>
      <c r="Q128" s="2"/>
      <c r="R128" s="2"/>
    </row>
    <row r="129" spans="1:18" ht="15">
      <c r="A129" s="2"/>
      <c r="B129" s="85"/>
      <c r="C129" s="82"/>
      <c r="D129" s="82"/>
      <c r="E129" s="82"/>
      <c r="F129" s="82"/>
      <c r="G129" s="82"/>
      <c r="H129" s="82"/>
      <c r="I129" s="82"/>
      <c r="J129" s="82"/>
      <c r="K129" s="214"/>
      <c r="L129" s="214"/>
      <c r="M129" s="83"/>
      <c r="N129" s="2"/>
      <c r="O129" s="2"/>
      <c r="P129" s="2"/>
      <c r="Q129" s="2"/>
      <c r="R129" s="2"/>
    </row>
    <row r="130" spans="1:18" ht="15">
      <c r="A130" s="2"/>
      <c r="B130" s="2"/>
      <c r="C130" s="82"/>
      <c r="D130" s="82"/>
      <c r="E130" s="82"/>
      <c r="F130" s="82"/>
      <c r="G130" s="82"/>
      <c r="H130" s="82"/>
      <c r="I130" s="82"/>
      <c r="J130" s="82"/>
      <c r="K130" s="214"/>
      <c r="L130" s="214"/>
      <c r="M130" s="83"/>
      <c r="N130" s="2"/>
      <c r="O130" s="2"/>
      <c r="P130" s="2"/>
      <c r="Q130" s="2"/>
      <c r="R130" s="2"/>
    </row>
    <row r="131" spans="1:18" ht="15.75">
      <c r="A131" s="84"/>
      <c r="B131" s="2"/>
      <c r="C131" s="82"/>
      <c r="D131" s="82"/>
      <c r="E131" s="82"/>
      <c r="F131" s="82"/>
      <c r="G131" s="82"/>
      <c r="H131" s="82"/>
      <c r="I131" s="82"/>
      <c r="J131" s="82"/>
      <c r="K131" s="214"/>
      <c r="L131" s="214"/>
      <c r="M131" s="83"/>
      <c r="N131" s="2"/>
      <c r="O131" s="2"/>
      <c r="P131" s="2"/>
      <c r="Q131" s="2"/>
      <c r="R131" s="2"/>
    </row>
    <row r="132" spans="1:18" ht="15">
      <c r="A132" s="2"/>
      <c r="B132" s="2"/>
      <c r="C132" s="82"/>
      <c r="D132" s="82"/>
      <c r="E132" s="82"/>
      <c r="F132" s="82"/>
      <c r="G132" s="82"/>
      <c r="H132" s="82"/>
      <c r="I132" s="82"/>
      <c r="J132" s="82"/>
      <c r="K132" s="214"/>
      <c r="L132" s="214"/>
      <c r="M132" s="83"/>
      <c r="N132" s="2"/>
      <c r="O132" s="2"/>
      <c r="P132" s="2"/>
      <c r="Q132" s="2"/>
      <c r="R132" s="2"/>
    </row>
    <row r="133" spans="1:18" ht="15">
      <c r="A133" s="2"/>
      <c r="B133" s="2"/>
      <c r="C133" s="82"/>
      <c r="D133" s="82"/>
      <c r="E133" s="82"/>
      <c r="F133" s="82"/>
      <c r="G133" s="82"/>
      <c r="H133" s="82"/>
      <c r="I133" s="82"/>
      <c r="J133" s="82"/>
      <c r="K133" s="214"/>
      <c r="L133" s="214"/>
      <c r="M133" s="83"/>
      <c r="N133" s="2"/>
      <c r="O133" s="2"/>
      <c r="P133" s="2"/>
      <c r="Q133" s="2"/>
      <c r="R133" s="2"/>
    </row>
    <row r="134" spans="1:18" ht="15.75">
      <c r="A134" s="84"/>
      <c r="B134" s="2"/>
      <c r="C134" s="82"/>
      <c r="D134" s="82"/>
      <c r="E134" s="82"/>
      <c r="F134" s="82"/>
      <c r="G134" s="82"/>
      <c r="H134" s="82"/>
      <c r="I134" s="82"/>
      <c r="J134" s="82"/>
      <c r="K134" s="214"/>
      <c r="L134" s="214"/>
      <c r="M134" s="83"/>
      <c r="N134" s="2"/>
      <c r="O134" s="2"/>
      <c r="P134" s="2"/>
      <c r="Q134" s="2"/>
      <c r="R134" s="2"/>
    </row>
    <row r="135" spans="1:18" ht="15.75">
      <c r="A135" s="84"/>
      <c r="B135" s="2"/>
      <c r="C135" s="82"/>
      <c r="D135" s="82"/>
      <c r="E135" s="82"/>
      <c r="F135" s="82"/>
      <c r="G135" s="82"/>
      <c r="H135" s="82"/>
      <c r="I135" s="82"/>
      <c r="J135" s="82"/>
      <c r="K135" s="214"/>
      <c r="L135" s="214"/>
      <c r="M135" s="83"/>
      <c r="N135" s="2"/>
      <c r="O135" s="2"/>
      <c r="P135" s="2"/>
      <c r="Q135" s="2"/>
      <c r="R135" s="2"/>
    </row>
    <row r="136" spans="1:18" ht="15.75">
      <c r="A136" s="84"/>
      <c r="B136" s="85"/>
      <c r="C136" s="82"/>
      <c r="D136" s="82"/>
      <c r="E136" s="82"/>
      <c r="F136" s="82"/>
      <c r="G136" s="82"/>
      <c r="H136" s="82"/>
      <c r="I136" s="82"/>
      <c r="J136" s="82"/>
      <c r="K136" s="214"/>
      <c r="L136" s="214"/>
      <c r="M136" s="83"/>
      <c r="N136" s="2"/>
      <c r="O136" s="2"/>
      <c r="P136" s="2"/>
      <c r="Q136" s="2"/>
      <c r="R136" s="2"/>
    </row>
    <row r="137" spans="1:18" ht="15">
      <c r="A137" s="2"/>
      <c r="B137" s="85"/>
      <c r="C137" s="82"/>
      <c r="D137" s="82"/>
      <c r="E137" s="82"/>
      <c r="F137" s="82"/>
      <c r="G137" s="82"/>
      <c r="H137" s="82"/>
      <c r="I137" s="82"/>
      <c r="J137" s="82"/>
      <c r="K137" s="214"/>
      <c r="L137" s="214"/>
      <c r="M137" s="83"/>
      <c r="N137" s="2"/>
      <c r="O137" s="2"/>
      <c r="P137" s="2"/>
      <c r="Q137" s="2"/>
      <c r="R137" s="2"/>
    </row>
    <row r="138" spans="1:18" ht="15">
      <c r="A138" s="2"/>
      <c r="B138" s="85"/>
      <c r="C138" s="82"/>
      <c r="D138" s="82"/>
      <c r="E138" s="82"/>
      <c r="F138" s="82"/>
      <c r="G138" s="82"/>
      <c r="H138" s="82"/>
      <c r="I138" s="82"/>
      <c r="J138" s="82"/>
      <c r="K138" s="214"/>
      <c r="L138" s="214"/>
      <c r="M138" s="83"/>
      <c r="N138" s="2"/>
      <c r="O138" s="2"/>
      <c r="P138" s="2"/>
      <c r="Q138" s="2"/>
      <c r="R138" s="2"/>
    </row>
    <row r="139" spans="1:18" ht="15">
      <c r="A139" s="2"/>
      <c r="B139" s="85"/>
      <c r="C139" s="82"/>
      <c r="D139" s="82"/>
      <c r="E139" s="82"/>
      <c r="F139" s="82"/>
      <c r="G139" s="82"/>
      <c r="H139" s="82"/>
      <c r="I139" s="82"/>
      <c r="J139" s="82"/>
      <c r="K139" s="214"/>
      <c r="L139" s="214"/>
      <c r="M139" s="83"/>
      <c r="N139" s="2"/>
      <c r="O139" s="2"/>
      <c r="P139" s="2"/>
      <c r="Q139" s="2"/>
      <c r="R139" s="2"/>
    </row>
    <row r="140" spans="1:18" ht="15">
      <c r="A140" s="2"/>
      <c r="B140" s="85"/>
      <c r="C140" s="82"/>
      <c r="D140" s="82"/>
      <c r="E140" s="82"/>
      <c r="F140" s="82"/>
      <c r="G140" s="82"/>
      <c r="H140" s="82"/>
      <c r="I140" s="82"/>
      <c r="J140" s="82"/>
      <c r="K140" s="214"/>
      <c r="L140" s="214"/>
      <c r="M140" s="83"/>
      <c r="N140" s="2"/>
      <c r="O140" s="2"/>
      <c r="P140" s="2"/>
      <c r="Q140" s="2"/>
      <c r="R140" s="2"/>
    </row>
    <row r="141" spans="1:18" ht="15">
      <c r="A141" s="2"/>
      <c r="B141" s="85"/>
      <c r="C141" s="82"/>
      <c r="D141" s="82"/>
      <c r="E141" s="82"/>
      <c r="F141" s="82"/>
      <c r="G141" s="82"/>
      <c r="H141" s="82"/>
      <c r="I141" s="82"/>
      <c r="J141" s="82"/>
      <c r="K141" s="214"/>
      <c r="L141" s="214"/>
      <c r="M141" s="83"/>
      <c r="N141" s="2"/>
      <c r="O141" s="2"/>
      <c r="P141" s="2"/>
      <c r="Q141" s="2"/>
      <c r="R141" s="2"/>
    </row>
    <row r="142" spans="1:18" ht="15">
      <c r="A142" s="2"/>
      <c r="B142" s="85"/>
      <c r="C142" s="82"/>
      <c r="D142" s="82"/>
      <c r="E142" s="82"/>
      <c r="F142" s="82"/>
      <c r="G142" s="82"/>
      <c r="H142" s="82"/>
      <c r="I142" s="82"/>
      <c r="J142" s="82"/>
      <c r="K142" s="214"/>
      <c r="L142" s="214"/>
      <c r="M142" s="83"/>
      <c r="N142" s="2"/>
      <c r="O142" s="2"/>
      <c r="P142" s="2"/>
      <c r="Q142" s="2"/>
      <c r="R142" s="2"/>
    </row>
    <row r="143" spans="1:18" ht="15">
      <c r="A143" s="2"/>
      <c r="B143" s="85"/>
      <c r="C143" s="82"/>
      <c r="D143" s="82"/>
      <c r="E143" s="82"/>
      <c r="F143" s="82"/>
      <c r="G143" s="82"/>
      <c r="H143" s="82"/>
      <c r="I143" s="82"/>
      <c r="J143" s="82"/>
      <c r="K143" s="214"/>
      <c r="L143" s="214"/>
      <c r="M143" s="83"/>
      <c r="N143" s="2"/>
      <c r="O143" s="2"/>
      <c r="P143" s="2"/>
      <c r="Q143" s="2"/>
      <c r="R143" s="2"/>
    </row>
    <row r="144" spans="1:18" ht="15">
      <c r="A144" s="2"/>
      <c r="B144" s="85"/>
      <c r="C144" s="82"/>
      <c r="D144" s="82"/>
      <c r="E144" s="82"/>
      <c r="F144" s="82"/>
      <c r="G144" s="82"/>
      <c r="H144" s="82"/>
      <c r="I144" s="82"/>
      <c r="J144" s="82"/>
      <c r="K144" s="214"/>
      <c r="L144" s="214"/>
      <c r="M144" s="83"/>
      <c r="N144" s="2"/>
      <c r="O144" s="2"/>
      <c r="P144" s="2"/>
      <c r="Q144" s="2"/>
      <c r="R144" s="2"/>
    </row>
    <row r="145" spans="1:18" ht="15">
      <c r="A145" s="2"/>
      <c r="B145" s="85"/>
      <c r="C145" s="82"/>
      <c r="D145" s="82"/>
      <c r="E145" s="82"/>
      <c r="F145" s="82"/>
      <c r="G145" s="82"/>
      <c r="H145" s="82"/>
      <c r="I145" s="82"/>
      <c r="J145" s="82"/>
      <c r="K145" s="214"/>
      <c r="L145" s="214"/>
      <c r="M145" s="83"/>
      <c r="N145" s="2"/>
      <c r="O145" s="2"/>
      <c r="P145" s="2"/>
      <c r="Q145" s="2"/>
      <c r="R145" s="2"/>
    </row>
    <row r="146" spans="1:18" ht="15">
      <c r="A146" s="2"/>
      <c r="B146" s="85"/>
      <c r="C146" s="82"/>
      <c r="D146" s="82"/>
      <c r="E146" s="82"/>
      <c r="F146" s="82"/>
      <c r="G146" s="82"/>
      <c r="H146" s="82"/>
      <c r="I146" s="82"/>
      <c r="J146" s="82"/>
      <c r="K146" s="214"/>
      <c r="L146" s="214"/>
      <c r="M146" s="83"/>
      <c r="N146" s="2"/>
      <c r="O146" s="2"/>
      <c r="P146" s="2"/>
      <c r="Q146" s="2"/>
      <c r="R146" s="2"/>
    </row>
    <row r="147" spans="1:18" ht="15">
      <c r="A147" s="2"/>
      <c r="B147" s="85"/>
      <c r="C147" s="82"/>
      <c r="D147" s="82"/>
      <c r="E147" s="82"/>
      <c r="F147" s="82"/>
      <c r="G147" s="82"/>
      <c r="H147" s="82"/>
      <c r="I147" s="82"/>
      <c r="J147" s="82"/>
      <c r="K147" s="214"/>
      <c r="L147" s="214"/>
      <c r="M147" s="83"/>
      <c r="N147" s="2"/>
      <c r="O147" s="2"/>
      <c r="P147" s="2"/>
      <c r="Q147" s="2"/>
      <c r="R147" s="2"/>
    </row>
    <row r="148" spans="1:18" ht="15">
      <c r="A148" s="2"/>
      <c r="B148" s="2"/>
      <c r="C148" s="82"/>
      <c r="D148" s="82"/>
      <c r="E148" s="82"/>
      <c r="F148" s="82"/>
      <c r="G148" s="82"/>
      <c r="H148" s="82"/>
      <c r="I148" s="82"/>
      <c r="J148" s="82"/>
      <c r="K148" s="214"/>
      <c r="L148" s="214"/>
      <c r="M148" s="83"/>
      <c r="N148" s="2"/>
      <c r="O148" s="2"/>
      <c r="P148" s="2"/>
      <c r="Q148" s="2"/>
      <c r="R148" s="2"/>
    </row>
    <row r="149" spans="1:18" ht="15.75">
      <c r="A149" s="84"/>
      <c r="B149" s="2"/>
      <c r="C149" s="82"/>
      <c r="D149" s="82"/>
      <c r="E149" s="82"/>
      <c r="F149" s="82"/>
      <c r="G149" s="82"/>
      <c r="H149" s="82"/>
      <c r="I149" s="82"/>
      <c r="J149" s="82"/>
      <c r="K149" s="214"/>
      <c r="L149" s="214"/>
      <c r="M149" s="83"/>
      <c r="N149" s="2"/>
      <c r="O149" s="2"/>
      <c r="P149" s="2"/>
      <c r="Q149" s="2"/>
      <c r="R149" s="2"/>
    </row>
    <row r="150" spans="1:18" ht="15">
      <c r="A150" s="2"/>
      <c r="B150" s="2"/>
      <c r="C150" s="82"/>
      <c r="D150" s="82"/>
      <c r="E150" s="82"/>
      <c r="F150" s="82"/>
      <c r="G150" s="82"/>
      <c r="H150" s="82"/>
      <c r="I150" s="82"/>
      <c r="J150" s="82"/>
      <c r="K150" s="214"/>
      <c r="L150" s="214"/>
      <c r="M150" s="83"/>
      <c r="N150" s="2"/>
      <c r="O150" s="2"/>
      <c r="P150" s="2"/>
      <c r="Q150" s="2"/>
      <c r="R150" s="2"/>
    </row>
    <row r="151" spans="1:18" ht="15">
      <c r="A151" s="2"/>
      <c r="B151" s="2"/>
      <c r="C151" s="82"/>
      <c r="D151" s="82"/>
      <c r="E151" s="82"/>
      <c r="F151" s="82"/>
      <c r="G151" s="82"/>
      <c r="H151" s="82"/>
      <c r="I151" s="82"/>
      <c r="J151" s="82"/>
      <c r="K151" s="214"/>
      <c r="L151" s="214"/>
      <c r="M151" s="83"/>
      <c r="N151" s="2"/>
      <c r="O151" s="2"/>
      <c r="P151" s="2"/>
      <c r="Q151" s="2"/>
      <c r="R151" s="2"/>
    </row>
    <row r="152" spans="1:18" ht="15.75">
      <c r="A152" s="84"/>
      <c r="B152" s="85"/>
      <c r="C152" s="82"/>
      <c r="D152" s="82"/>
      <c r="E152" s="82"/>
      <c r="F152" s="82"/>
      <c r="G152" s="82"/>
      <c r="H152" s="82"/>
      <c r="I152" s="82"/>
      <c r="J152" s="82"/>
      <c r="K152" s="214"/>
      <c r="L152" s="214"/>
      <c r="M152" s="83"/>
      <c r="N152" s="2"/>
      <c r="O152" s="2"/>
      <c r="P152" s="2"/>
      <c r="Q152" s="2"/>
      <c r="R152" s="2"/>
    </row>
    <row r="153" spans="1:18" ht="15">
      <c r="A153" s="2"/>
      <c r="B153" s="85"/>
      <c r="C153" s="82"/>
      <c r="D153" s="82"/>
      <c r="E153" s="82"/>
      <c r="F153" s="82"/>
      <c r="G153" s="82"/>
      <c r="H153" s="82"/>
      <c r="I153" s="82"/>
      <c r="J153" s="82"/>
      <c r="K153" s="214"/>
      <c r="L153" s="214"/>
      <c r="M153" s="83"/>
      <c r="N153" s="2"/>
      <c r="O153" s="2"/>
      <c r="P153" s="2"/>
      <c r="Q153" s="2"/>
      <c r="R153" s="2"/>
    </row>
    <row r="154" spans="1:18" ht="15">
      <c r="A154" s="2"/>
      <c r="B154" s="85"/>
      <c r="C154" s="82"/>
      <c r="D154" s="82"/>
      <c r="E154" s="82"/>
      <c r="F154" s="82"/>
      <c r="G154" s="82"/>
      <c r="H154" s="82"/>
      <c r="I154" s="82"/>
      <c r="J154" s="82"/>
      <c r="K154" s="214"/>
      <c r="L154" s="214"/>
      <c r="M154" s="83"/>
      <c r="N154" s="2"/>
      <c r="O154" s="2"/>
      <c r="P154" s="2"/>
      <c r="Q154" s="2"/>
      <c r="R154" s="2"/>
    </row>
    <row r="155" spans="1:18" ht="15">
      <c r="A155" s="2"/>
      <c r="B155" s="2"/>
      <c r="C155" s="82"/>
      <c r="D155" s="82"/>
      <c r="E155" s="82"/>
      <c r="F155" s="82"/>
      <c r="G155" s="82"/>
      <c r="H155" s="82"/>
      <c r="I155" s="82"/>
      <c r="J155" s="82"/>
      <c r="K155" s="214"/>
      <c r="L155" s="214"/>
      <c r="M155" s="83"/>
      <c r="N155" s="2"/>
      <c r="O155" s="2"/>
      <c r="P155" s="2"/>
      <c r="Q155" s="2"/>
      <c r="R155" s="2"/>
    </row>
    <row r="156" spans="1:18" ht="15">
      <c r="A156" s="2"/>
      <c r="B156" s="2"/>
      <c r="C156" s="82"/>
      <c r="D156" s="82"/>
      <c r="E156" s="82"/>
      <c r="F156" s="82"/>
      <c r="G156" s="82"/>
      <c r="H156" s="82"/>
      <c r="I156" s="82"/>
      <c r="J156" s="82"/>
      <c r="K156" s="214"/>
      <c r="L156" s="214"/>
      <c r="M156" s="83"/>
      <c r="N156" s="2"/>
      <c r="O156" s="2"/>
      <c r="P156" s="2"/>
      <c r="Q156" s="2"/>
      <c r="R156" s="2"/>
    </row>
    <row r="157" spans="1:18" ht="15">
      <c r="A157" s="2"/>
      <c r="B157" s="2"/>
      <c r="C157" s="82"/>
      <c r="D157" s="82"/>
      <c r="E157" s="82"/>
      <c r="F157" s="82"/>
      <c r="G157" s="82"/>
      <c r="H157" s="82"/>
      <c r="I157" s="82"/>
      <c r="J157" s="82"/>
      <c r="K157" s="214"/>
      <c r="L157" s="214"/>
      <c r="M157" s="83"/>
      <c r="N157" s="2"/>
      <c r="O157" s="2"/>
      <c r="P157" s="2"/>
      <c r="Q157" s="2"/>
      <c r="R157" s="2"/>
    </row>
    <row r="158" spans="1:18" ht="15.75">
      <c r="A158" s="84"/>
      <c r="B158" s="2"/>
      <c r="C158" s="82"/>
      <c r="D158" s="82"/>
      <c r="E158" s="82"/>
      <c r="F158" s="82"/>
      <c r="G158" s="82"/>
      <c r="H158" s="82"/>
      <c r="I158" s="82"/>
      <c r="J158" s="82"/>
      <c r="K158" s="214"/>
      <c r="L158" s="214"/>
      <c r="M158" s="83"/>
      <c r="N158" s="2"/>
      <c r="O158" s="2"/>
      <c r="P158" s="2"/>
      <c r="Q158" s="2"/>
      <c r="R158" s="2"/>
    </row>
    <row r="159" spans="1:18" ht="15">
      <c r="A159" s="2"/>
      <c r="B159" s="2"/>
      <c r="C159" s="82"/>
      <c r="D159" s="82"/>
      <c r="E159" s="82"/>
      <c r="F159" s="82"/>
      <c r="G159" s="82"/>
      <c r="H159" s="82"/>
      <c r="I159" s="82"/>
      <c r="J159" s="82"/>
      <c r="K159" s="214"/>
      <c r="L159" s="214"/>
      <c r="M159" s="83"/>
      <c r="N159" s="2"/>
      <c r="O159" s="2"/>
      <c r="P159" s="2"/>
      <c r="Q159" s="2"/>
      <c r="R159" s="2"/>
    </row>
    <row r="160" spans="1:18" ht="15">
      <c r="A160" s="2"/>
      <c r="B160" s="2"/>
      <c r="C160" s="82"/>
      <c r="D160" s="82"/>
      <c r="E160" s="82"/>
      <c r="F160" s="82"/>
      <c r="G160" s="82"/>
      <c r="H160" s="82"/>
      <c r="I160" s="82"/>
      <c r="J160" s="82"/>
      <c r="K160" s="214"/>
      <c r="L160" s="214"/>
      <c r="M160" s="83"/>
      <c r="N160" s="2"/>
      <c r="O160" s="2"/>
      <c r="P160" s="2"/>
      <c r="Q160" s="2"/>
      <c r="R160" s="2"/>
    </row>
    <row r="161" spans="1:18" ht="15.75">
      <c r="A161" s="84"/>
      <c r="B161" s="84"/>
      <c r="C161" s="82"/>
      <c r="D161" s="82"/>
      <c r="E161" s="82"/>
      <c r="F161" s="82"/>
      <c r="G161" s="82"/>
      <c r="H161" s="82"/>
      <c r="I161" s="82"/>
      <c r="J161" s="82"/>
      <c r="K161" s="214"/>
      <c r="L161" s="214"/>
      <c r="M161" s="83"/>
      <c r="N161" s="2"/>
      <c r="O161" s="2"/>
      <c r="P161" s="2"/>
      <c r="Q161" s="2"/>
      <c r="R161" s="2"/>
    </row>
    <row r="162" spans="1:18" ht="15">
      <c r="A162" s="2"/>
      <c r="B162" s="2"/>
      <c r="C162" s="82"/>
      <c r="D162" s="82"/>
      <c r="E162" s="82"/>
      <c r="F162" s="82"/>
      <c r="G162" s="82"/>
      <c r="H162" s="82"/>
      <c r="I162" s="82"/>
      <c r="J162" s="82"/>
      <c r="K162" s="214"/>
      <c r="L162" s="214"/>
      <c r="M162" s="83"/>
      <c r="N162" s="2"/>
      <c r="O162" s="2"/>
      <c r="P162" s="2"/>
      <c r="Q162" s="2"/>
      <c r="R162" s="2"/>
    </row>
    <row r="163" spans="1:18" ht="15">
      <c r="A163" s="2"/>
      <c r="B163" s="2"/>
      <c r="C163" s="82"/>
      <c r="D163" s="82"/>
      <c r="E163" s="82"/>
      <c r="F163" s="82"/>
      <c r="G163" s="82"/>
      <c r="H163" s="82"/>
      <c r="I163" s="82"/>
      <c r="J163" s="82"/>
      <c r="K163" s="214"/>
      <c r="L163" s="214"/>
      <c r="M163" s="83"/>
      <c r="N163" s="2"/>
      <c r="O163" s="2"/>
      <c r="P163" s="2"/>
      <c r="Q163" s="2"/>
      <c r="R163" s="2"/>
    </row>
    <row r="164" spans="1:18" ht="15">
      <c r="A164" s="2"/>
      <c r="B164" s="2"/>
      <c r="C164" s="82"/>
      <c r="D164" s="82"/>
      <c r="E164" s="82"/>
      <c r="F164" s="82"/>
      <c r="G164" s="82"/>
      <c r="H164" s="82"/>
      <c r="I164" s="82"/>
      <c r="J164" s="82"/>
      <c r="K164" s="214"/>
      <c r="L164" s="214"/>
      <c r="M164" s="83"/>
      <c r="N164" s="2"/>
      <c r="O164" s="2"/>
      <c r="P164" s="2"/>
      <c r="Q164" s="2"/>
      <c r="R164" s="2"/>
    </row>
    <row r="165" spans="1:18" ht="15">
      <c r="A165" s="2"/>
      <c r="B165" s="2"/>
      <c r="C165" s="82"/>
      <c r="D165" s="82"/>
      <c r="E165" s="82"/>
      <c r="F165" s="82"/>
      <c r="G165" s="82"/>
      <c r="H165" s="82"/>
      <c r="I165" s="82"/>
      <c r="J165" s="82"/>
      <c r="K165" s="214"/>
      <c r="L165" s="214"/>
      <c r="M165" s="83"/>
      <c r="N165" s="2"/>
      <c r="O165" s="2"/>
      <c r="P165" s="2"/>
      <c r="Q165" s="2"/>
      <c r="R165" s="2"/>
    </row>
    <row r="166" spans="1:18" ht="15">
      <c r="A166" s="2"/>
      <c r="B166" s="2"/>
      <c r="C166" s="82"/>
      <c r="D166" s="82"/>
      <c r="E166" s="82"/>
      <c r="F166" s="82"/>
      <c r="G166" s="82"/>
      <c r="H166" s="82"/>
      <c r="I166" s="82"/>
      <c r="J166" s="82"/>
      <c r="K166" s="214"/>
      <c r="L166" s="214"/>
      <c r="M166" s="83"/>
      <c r="N166" s="2"/>
      <c r="O166" s="2"/>
      <c r="P166" s="2"/>
      <c r="Q166" s="2"/>
      <c r="R166" s="2"/>
    </row>
    <row r="167" spans="1:18" ht="15">
      <c r="A167" s="2"/>
      <c r="B167" s="2"/>
      <c r="C167" s="82"/>
      <c r="D167" s="82"/>
      <c r="E167" s="82"/>
      <c r="F167" s="82"/>
      <c r="G167" s="82"/>
      <c r="H167" s="82"/>
      <c r="I167" s="82"/>
      <c r="J167" s="82"/>
      <c r="K167" s="214"/>
      <c r="L167" s="214"/>
      <c r="M167" s="83"/>
      <c r="N167" s="2"/>
      <c r="O167" s="2"/>
      <c r="P167" s="2"/>
      <c r="Q167" s="2"/>
      <c r="R167" s="2"/>
    </row>
    <row r="168" spans="1:18" ht="15">
      <c r="A168" s="2"/>
      <c r="B168" s="2"/>
      <c r="C168" s="82"/>
      <c r="D168" s="82"/>
      <c r="E168" s="82"/>
      <c r="F168" s="82"/>
      <c r="G168" s="82"/>
      <c r="H168" s="82"/>
      <c r="I168" s="82"/>
      <c r="J168" s="82"/>
      <c r="K168" s="214"/>
      <c r="L168" s="214"/>
      <c r="M168" s="83"/>
      <c r="N168" s="2"/>
      <c r="O168" s="2"/>
      <c r="P168" s="2"/>
      <c r="Q168" s="2"/>
      <c r="R168" s="2"/>
    </row>
    <row r="169" spans="1:18" ht="15">
      <c r="A169" s="2"/>
      <c r="B169" s="2"/>
      <c r="C169" s="82"/>
      <c r="D169" s="82"/>
      <c r="E169" s="82"/>
      <c r="F169" s="82"/>
      <c r="G169" s="82"/>
      <c r="H169" s="82"/>
      <c r="I169" s="82"/>
      <c r="J169" s="82"/>
      <c r="K169" s="214"/>
      <c r="L169" s="214"/>
      <c r="M169" s="83"/>
      <c r="N169" s="2"/>
      <c r="O169" s="2"/>
      <c r="P169" s="2"/>
      <c r="Q169" s="2"/>
      <c r="R169" s="2"/>
    </row>
    <row r="170" spans="1:18" ht="15">
      <c r="A170" s="2"/>
      <c r="B170" s="2"/>
      <c r="C170" s="82"/>
      <c r="D170" s="82"/>
      <c r="E170" s="82"/>
      <c r="F170" s="82"/>
      <c r="G170" s="82"/>
      <c r="H170" s="82"/>
      <c r="I170" s="82"/>
      <c r="J170" s="82"/>
      <c r="K170" s="214"/>
      <c r="L170" s="214"/>
      <c r="M170" s="83"/>
      <c r="N170" s="2"/>
      <c r="O170" s="2"/>
      <c r="P170" s="2"/>
      <c r="Q170" s="2"/>
      <c r="R170" s="2"/>
    </row>
    <row r="171" spans="1:18" ht="15">
      <c r="A171" s="2"/>
      <c r="B171" s="2"/>
      <c r="C171" s="82"/>
      <c r="D171" s="82"/>
      <c r="E171" s="82"/>
      <c r="F171" s="82"/>
      <c r="G171" s="82"/>
      <c r="H171" s="82"/>
      <c r="I171" s="82"/>
      <c r="J171" s="82"/>
      <c r="K171" s="214"/>
      <c r="L171" s="214"/>
      <c r="M171" s="83"/>
      <c r="N171" s="2"/>
      <c r="O171" s="2"/>
      <c r="P171" s="2"/>
      <c r="Q171" s="2"/>
      <c r="R171" s="2"/>
    </row>
    <row r="172" spans="1:18" ht="15">
      <c r="A172" s="2"/>
      <c r="B172" s="2"/>
      <c r="C172" s="82"/>
      <c r="D172" s="82"/>
      <c r="E172" s="82"/>
      <c r="F172" s="82"/>
      <c r="G172" s="82"/>
      <c r="H172" s="82"/>
      <c r="I172" s="82"/>
      <c r="J172" s="82"/>
      <c r="K172" s="214"/>
      <c r="L172" s="214"/>
      <c r="M172" s="83"/>
      <c r="N172" s="2"/>
      <c r="O172" s="2"/>
      <c r="P172" s="2"/>
      <c r="Q172" s="2"/>
      <c r="R172" s="2"/>
    </row>
    <row r="173" spans="1:18" ht="15">
      <c r="A173" s="2"/>
      <c r="B173" s="2"/>
      <c r="C173" s="82"/>
      <c r="D173" s="82"/>
      <c r="E173" s="82"/>
      <c r="F173" s="82"/>
      <c r="G173" s="82"/>
      <c r="H173" s="82"/>
      <c r="I173" s="82"/>
      <c r="J173" s="82"/>
      <c r="K173" s="214"/>
      <c r="L173" s="214"/>
      <c r="M173" s="83"/>
      <c r="N173" s="2"/>
      <c r="O173" s="2"/>
      <c r="P173" s="2"/>
      <c r="Q173" s="2"/>
      <c r="R173" s="2"/>
    </row>
    <row r="174" spans="1:18" ht="15">
      <c r="A174" s="2"/>
      <c r="B174" s="2"/>
      <c r="C174" s="82"/>
      <c r="D174" s="82"/>
      <c r="E174" s="82"/>
      <c r="F174" s="82"/>
      <c r="G174" s="82"/>
      <c r="H174" s="82"/>
      <c r="I174" s="82"/>
      <c r="J174" s="82"/>
      <c r="K174" s="214"/>
      <c r="L174" s="214"/>
      <c r="M174" s="83"/>
      <c r="N174" s="2"/>
      <c r="O174" s="2"/>
      <c r="P174" s="2"/>
      <c r="Q174" s="2"/>
      <c r="R174" s="2"/>
    </row>
    <row r="175" spans="1:18" ht="15">
      <c r="A175" s="2"/>
      <c r="B175" s="2"/>
      <c r="C175" s="82"/>
      <c r="D175" s="82"/>
      <c r="E175" s="82"/>
      <c r="F175" s="82"/>
      <c r="G175" s="82"/>
      <c r="H175" s="82"/>
      <c r="I175" s="82"/>
      <c r="J175" s="82"/>
      <c r="K175" s="214"/>
      <c r="L175" s="214"/>
      <c r="M175" s="83"/>
      <c r="N175" s="2"/>
      <c r="O175" s="2"/>
      <c r="P175" s="2"/>
      <c r="Q175" s="2"/>
      <c r="R175" s="2"/>
    </row>
    <row r="176" spans="1:18" ht="15">
      <c r="A176" s="2"/>
      <c r="B176" s="2"/>
      <c r="C176" s="82"/>
      <c r="D176" s="82"/>
      <c r="E176" s="82"/>
      <c r="F176" s="82"/>
      <c r="G176" s="82"/>
      <c r="H176" s="82"/>
      <c r="I176" s="82"/>
      <c r="J176" s="82"/>
      <c r="K176" s="214"/>
      <c r="L176" s="214"/>
      <c r="M176" s="83"/>
      <c r="N176" s="2"/>
      <c r="O176" s="2"/>
      <c r="P176" s="2"/>
      <c r="Q176" s="2"/>
      <c r="R176" s="2"/>
    </row>
    <row r="177" spans="1:18" ht="15">
      <c r="A177" s="2"/>
      <c r="B177" s="2"/>
      <c r="C177" s="82"/>
      <c r="D177" s="82"/>
      <c r="E177" s="82"/>
      <c r="F177" s="82"/>
      <c r="G177" s="82"/>
      <c r="H177" s="82"/>
      <c r="I177" s="82"/>
      <c r="J177" s="82"/>
      <c r="K177" s="214"/>
      <c r="L177" s="214"/>
      <c r="M177" s="83"/>
      <c r="N177" s="2"/>
      <c r="O177" s="2"/>
      <c r="P177" s="2"/>
      <c r="Q177" s="2"/>
      <c r="R177" s="2"/>
    </row>
    <row r="178" spans="1:18" ht="15">
      <c r="A178" s="2"/>
      <c r="B178" s="2"/>
      <c r="C178" s="82"/>
      <c r="D178" s="82"/>
      <c r="E178" s="82"/>
      <c r="F178" s="82"/>
      <c r="G178" s="82"/>
      <c r="H178" s="82"/>
      <c r="I178" s="82"/>
      <c r="J178" s="82"/>
      <c r="K178" s="214"/>
      <c r="L178" s="214"/>
      <c r="M178" s="83"/>
      <c r="N178" s="2"/>
      <c r="O178" s="2"/>
      <c r="P178" s="2"/>
      <c r="Q178" s="2"/>
      <c r="R178" s="2"/>
    </row>
    <row r="179" spans="1:18" ht="15">
      <c r="A179" s="2"/>
      <c r="B179" s="2"/>
      <c r="C179" s="82"/>
      <c r="D179" s="82"/>
      <c r="E179" s="82"/>
      <c r="F179" s="82"/>
      <c r="G179" s="82"/>
      <c r="H179" s="82"/>
      <c r="I179" s="82"/>
      <c r="J179" s="82"/>
      <c r="K179" s="214"/>
      <c r="L179" s="214"/>
      <c r="M179" s="83"/>
      <c r="N179" s="2"/>
      <c r="O179" s="2"/>
      <c r="P179" s="2"/>
      <c r="Q179" s="2"/>
      <c r="R179" s="2"/>
    </row>
    <row r="180" spans="1:18" ht="15">
      <c r="A180" s="2"/>
      <c r="B180" s="2"/>
      <c r="C180" s="82"/>
      <c r="D180" s="82"/>
      <c r="E180" s="82"/>
      <c r="F180" s="82"/>
      <c r="G180" s="82"/>
      <c r="H180" s="82"/>
      <c r="I180" s="82"/>
      <c r="J180" s="82"/>
      <c r="K180" s="214"/>
      <c r="L180" s="214"/>
      <c r="M180" s="83"/>
      <c r="N180" s="2"/>
      <c r="O180" s="2"/>
      <c r="P180" s="2"/>
      <c r="Q180" s="2"/>
      <c r="R180" s="2"/>
    </row>
    <row r="181" spans="1:18" ht="15">
      <c r="A181" s="2"/>
      <c r="B181" s="2"/>
      <c r="C181" s="82"/>
      <c r="D181" s="82"/>
      <c r="E181" s="82"/>
      <c r="F181" s="82"/>
      <c r="G181" s="82"/>
      <c r="H181" s="82"/>
      <c r="I181" s="82"/>
      <c r="J181" s="82"/>
      <c r="K181" s="214"/>
      <c r="L181" s="214"/>
      <c r="M181" s="83"/>
      <c r="N181" s="2"/>
      <c r="O181" s="2"/>
      <c r="P181" s="2"/>
      <c r="Q181" s="2"/>
      <c r="R181" s="2"/>
    </row>
    <row r="182" spans="1:18" ht="15">
      <c r="A182" s="2"/>
      <c r="B182" s="2"/>
      <c r="C182" s="82"/>
      <c r="D182" s="82"/>
      <c r="E182" s="82"/>
      <c r="F182" s="82"/>
      <c r="G182" s="82"/>
      <c r="H182" s="82"/>
      <c r="I182" s="82"/>
      <c r="J182" s="82"/>
      <c r="K182" s="214"/>
      <c r="L182" s="214"/>
      <c r="M182" s="83"/>
      <c r="N182" s="2"/>
      <c r="O182" s="2"/>
      <c r="P182" s="2"/>
      <c r="Q182" s="2"/>
      <c r="R182" s="2"/>
    </row>
    <row r="183" spans="1:18" ht="15">
      <c r="A183" s="2"/>
      <c r="B183" s="2"/>
      <c r="C183" s="82"/>
      <c r="D183" s="82"/>
      <c r="E183" s="82"/>
      <c r="F183" s="82"/>
      <c r="G183" s="82"/>
      <c r="H183" s="82"/>
      <c r="I183" s="82"/>
      <c r="J183" s="82"/>
      <c r="K183" s="214"/>
      <c r="L183" s="214"/>
      <c r="M183" s="83"/>
      <c r="N183" s="2"/>
      <c r="O183" s="2"/>
      <c r="P183" s="2"/>
      <c r="Q183" s="2"/>
      <c r="R183" s="2"/>
    </row>
    <row r="184" spans="1:18" ht="15">
      <c r="A184" s="2"/>
      <c r="B184" s="2"/>
      <c r="C184" s="82"/>
      <c r="D184" s="82"/>
      <c r="E184" s="82"/>
      <c r="F184" s="82"/>
      <c r="G184" s="82"/>
      <c r="H184" s="82"/>
      <c r="I184" s="82"/>
      <c r="J184" s="82"/>
      <c r="K184" s="214"/>
      <c r="L184" s="214"/>
      <c r="M184" s="83"/>
      <c r="N184" s="2"/>
      <c r="O184" s="2"/>
      <c r="P184" s="2"/>
      <c r="Q184" s="2"/>
      <c r="R184" s="2"/>
    </row>
    <row r="185" spans="1:18" ht="15">
      <c r="A185" s="2"/>
      <c r="B185" s="2"/>
      <c r="C185" s="82"/>
      <c r="D185" s="82"/>
      <c r="E185" s="82"/>
      <c r="F185" s="82"/>
      <c r="G185" s="82"/>
      <c r="H185" s="82"/>
      <c r="I185" s="82"/>
      <c r="J185" s="82"/>
      <c r="K185" s="214"/>
      <c r="L185" s="214"/>
      <c r="M185" s="83"/>
      <c r="N185" s="2"/>
      <c r="O185" s="2"/>
      <c r="P185" s="2"/>
      <c r="Q185" s="2"/>
      <c r="R185" s="2"/>
    </row>
    <row r="186" spans="1:18" ht="15">
      <c r="A186" s="2"/>
      <c r="B186" s="2"/>
      <c r="C186" s="82"/>
      <c r="D186" s="82"/>
      <c r="E186" s="82"/>
      <c r="F186" s="82"/>
      <c r="G186" s="82"/>
      <c r="H186" s="82"/>
      <c r="I186" s="82"/>
      <c r="J186" s="82"/>
      <c r="K186" s="214"/>
      <c r="L186" s="214"/>
      <c r="M186" s="83"/>
      <c r="N186" s="2"/>
      <c r="O186" s="2"/>
      <c r="P186" s="2"/>
      <c r="Q186" s="2"/>
      <c r="R186" s="2"/>
    </row>
    <row r="187" spans="1:18" ht="15">
      <c r="A187" s="2"/>
      <c r="B187" s="2"/>
      <c r="C187" s="82"/>
      <c r="D187" s="82"/>
      <c r="E187" s="82"/>
      <c r="F187" s="82"/>
      <c r="G187" s="82"/>
      <c r="H187" s="82"/>
      <c r="I187" s="82"/>
      <c r="J187" s="82"/>
      <c r="K187" s="214"/>
      <c r="L187" s="214"/>
      <c r="M187" s="83"/>
      <c r="N187" s="2"/>
      <c r="O187" s="2"/>
      <c r="P187" s="2"/>
      <c r="Q187" s="2"/>
      <c r="R187" s="2"/>
    </row>
    <row r="188" spans="1:18" ht="15">
      <c r="A188" s="2"/>
      <c r="B188" s="2"/>
      <c r="C188" s="82"/>
      <c r="D188" s="82"/>
      <c r="E188" s="82"/>
      <c r="F188" s="82"/>
      <c r="G188" s="82"/>
      <c r="H188" s="82"/>
      <c r="I188" s="82"/>
      <c r="J188" s="82"/>
      <c r="K188" s="214"/>
      <c r="L188" s="214"/>
      <c r="M188" s="83"/>
      <c r="N188" s="2"/>
      <c r="O188" s="2"/>
      <c r="P188" s="2"/>
      <c r="Q188" s="2"/>
      <c r="R188" s="2"/>
    </row>
    <row r="189" spans="1:18" ht="15">
      <c r="A189" s="2"/>
      <c r="B189" s="2"/>
      <c r="C189" s="82"/>
      <c r="D189" s="82"/>
      <c r="E189" s="82"/>
      <c r="F189" s="82"/>
      <c r="G189" s="82"/>
      <c r="H189" s="82"/>
      <c r="I189" s="82"/>
      <c r="J189" s="82"/>
      <c r="K189" s="214"/>
      <c r="L189" s="214"/>
      <c r="M189" s="83"/>
      <c r="N189" s="2"/>
      <c r="O189" s="2"/>
      <c r="P189" s="2"/>
      <c r="Q189" s="2"/>
      <c r="R189" s="2"/>
    </row>
    <row r="190" spans="1:18" ht="15">
      <c r="A190" s="2"/>
      <c r="B190" s="2"/>
      <c r="C190" s="82"/>
      <c r="D190" s="82"/>
      <c r="E190" s="82"/>
      <c r="F190" s="82"/>
      <c r="G190" s="82"/>
      <c r="H190" s="82"/>
      <c r="I190" s="82"/>
      <c r="J190" s="82"/>
      <c r="K190" s="214"/>
      <c r="L190" s="214"/>
      <c r="M190" s="83"/>
      <c r="N190" s="2"/>
      <c r="O190" s="2"/>
      <c r="P190" s="2"/>
      <c r="Q190" s="2"/>
      <c r="R190" s="2"/>
    </row>
    <row r="191" spans="1:18" ht="15">
      <c r="A191" s="2"/>
      <c r="B191" s="2"/>
      <c r="C191" s="82"/>
      <c r="D191" s="82"/>
      <c r="E191" s="82"/>
      <c r="F191" s="82"/>
      <c r="G191" s="82"/>
      <c r="H191" s="82"/>
      <c r="I191" s="82"/>
      <c r="J191" s="82"/>
      <c r="K191" s="214"/>
      <c r="L191" s="214"/>
      <c r="M191" s="83"/>
      <c r="N191" s="2"/>
      <c r="O191" s="2"/>
      <c r="P191" s="2"/>
      <c r="Q191" s="2"/>
      <c r="R191" s="2"/>
    </row>
    <row r="192" spans="1:18" ht="15">
      <c r="A192" s="2"/>
      <c r="B192" s="2"/>
      <c r="C192" s="82"/>
      <c r="D192" s="82"/>
      <c r="E192" s="82"/>
      <c r="F192" s="82"/>
      <c r="G192" s="82"/>
      <c r="H192" s="82"/>
      <c r="I192" s="82"/>
      <c r="J192" s="82"/>
      <c r="K192" s="214"/>
      <c r="L192" s="214"/>
      <c r="M192" s="83"/>
      <c r="N192" s="2"/>
      <c r="O192" s="2"/>
      <c r="P192" s="2"/>
      <c r="Q192" s="2"/>
      <c r="R192" s="2"/>
    </row>
    <row r="193" spans="1:18" ht="15">
      <c r="A193" s="2"/>
      <c r="B193" s="2"/>
      <c r="C193" s="82"/>
      <c r="D193" s="82"/>
      <c r="E193" s="82"/>
      <c r="F193" s="82"/>
      <c r="G193" s="82"/>
      <c r="H193" s="82"/>
      <c r="I193" s="82"/>
      <c r="J193" s="82"/>
      <c r="K193" s="214"/>
      <c r="L193" s="214"/>
      <c r="M193" s="83"/>
      <c r="N193" s="2"/>
      <c r="O193" s="2"/>
      <c r="P193" s="2"/>
      <c r="Q193" s="2"/>
      <c r="R193" s="2"/>
    </row>
    <row r="194" spans="1:18" ht="15">
      <c r="A194" s="2"/>
      <c r="B194" s="2"/>
      <c r="C194" s="82"/>
      <c r="D194" s="82"/>
      <c r="E194" s="82"/>
      <c r="F194" s="82"/>
      <c r="G194" s="82"/>
      <c r="H194" s="82"/>
      <c r="I194" s="82"/>
      <c r="J194" s="82"/>
      <c r="K194" s="214"/>
      <c r="L194" s="214"/>
      <c r="M194" s="83"/>
      <c r="N194" s="2"/>
      <c r="O194" s="2"/>
      <c r="P194" s="2"/>
      <c r="Q194" s="2"/>
      <c r="R194" s="2"/>
    </row>
    <row r="195" spans="1:18" ht="15">
      <c r="A195" s="2"/>
      <c r="B195" s="2"/>
      <c r="C195" s="82"/>
      <c r="D195" s="82"/>
      <c r="E195" s="82"/>
      <c r="F195" s="82"/>
      <c r="G195" s="82"/>
      <c r="H195" s="82"/>
      <c r="I195" s="82"/>
      <c r="J195" s="82"/>
      <c r="K195" s="214"/>
      <c r="L195" s="214"/>
      <c r="M195" s="83"/>
      <c r="N195" s="2"/>
      <c r="O195" s="2"/>
      <c r="P195" s="2"/>
      <c r="Q195" s="2"/>
      <c r="R195" s="2"/>
    </row>
    <row r="196" spans="1:18" ht="15">
      <c r="A196" s="2"/>
      <c r="B196" s="2"/>
      <c r="C196" s="82"/>
      <c r="D196" s="82"/>
      <c r="E196" s="82"/>
      <c r="F196" s="82"/>
      <c r="G196" s="82"/>
      <c r="H196" s="82"/>
      <c r="I196" s="82"/>
      <c r="J196" s="82"/>
      <c r="K196" s="214"/>
      <c r="L196" s="214"/>
      <c r="M196" s="83"/>
      <c r="N196" s="2"/>
      <c r="O196" s="2"/>
      <c r="P196" s="2"/>
      <c r="Q196" s="2"/>
      <c r="R196" s="2"/>
    </row>
    <row r="197" spans="1:18" ht="15">
      <c r="A197" s="2"/>
      <c r="B197" s="2"/>
      <c r="C197" s="82"/>
      <c r="D197" s="82"/>
      <c r="E197" s="82"/>
      <c r="F197" s="82"/>
      <c r="G197" s="82"/>
      <c r="H197" s="82"/>
      <c r="I197" s="82"/>
      <c r="J197" s="82"/>
      <c r="K197" s="214"/>
      <c r="L197" s="214"/>
      <c r="M197" s="83"/>
      <c r="N197" s="2"/>
      <c r="O197" s="2"/>
      <c r="P197" s="2"/>
      <c r="Q197" s="2"/>
      <c r="R197" s="2"/>
    </row>
    <row r="198" spans="1:18" ht="15">
      <c r="A198" s="2"/>
      <c r="B198" s="2"/>
      <c r="C198" s="82"/>
      <c r="D198" s="82"/>
      <c r="E198" s="82"/>
      <c r="F198" s="82"/>
      <c r="G198" s="82"/>
      <c r="H198" s="82"/>
      <c r="I198" s="82"/>
      <c r="J198" s="82"/>
      <c r="K198" s="214"/>
      <c r="L198" s="214"/>
      <c r="M198" s="83"/>
      <c r="N198" s="2"/>
      <c r="O198" s="2"/>
      <c r="P198" s="2"/>
      <c r="Q198" s="2"/>
      <c r="R198" s="2"/>
    </row>
    <row r="199" spans="1:18" ht="15">
      <c r="A199" s="2"/>
      <c r="B199" s="2"/>
      <c r="C199" s="82"/>
      <c r="D199" s="82"/>
      <c r="E199" s="82"/>
      <c r="F199" s="82"/>
      <c r="G199" s="82"/>
      <c r="H199" s="82"/>
      <c r="I199" s="82"/>
      <c r="J199" s="82"/>
      <c r="K199" s="214"/>
      <c r="L199" s="214"/>
      <c r="M199" s="83"/>
      <c r="N199" s="2"/>
      <c r="O199" s="2"/>
      <c r="P199" s="2"/>
      <c r="Q199" s="2"/>
      <c r="R199" s="2"/>
    </row>
    <row r="200" spans="1:18" ht="15">
      <c r="A200" s="2"/>
      <c r="B200" s="2"/>
      <c r="C200" s="82"/>
      <c r="D200" s="82"/>
      <c r="E200" s="82"/>
      <c r="F200" s="82"/>
      <c r="G200" s="82"/>
      <c r="H200" s="82"/>
      <c r="I200" s="82"/>
      <c r="J200" s="82"/>
      <c r="K200" s="214"/>
      <c r="L200" s="214"/>
      <c r="M200" s="83"/>
      <c r="N200" s="2"/>
      <c r="O200" s="2"/>
      <c r="P200" s="2"/>
      <c r="Q200" s="2"/>
      <c r="R200" s="2"/>
    </row>
    <row r="201" spans="1:18" ht="15">
      <c r="A201" s="2"/>
      <c r="B201" s="2"/>
      <c r="C201" s="82"/>
      <c r="D201" s="82"/>
      <c r="E201" s="82"/>
      <c r="F201" s="82"/>
      <c r="G201" s="82"/>
      <c r="H201" s="82"/>
      <c r="I201" s="82"/>
      <c r="J201" s="82"/>
      <c r="K201" s="214"/>
      <c r="L201" s="214"/>
      <c r="M201" s="83"/>
      <c r="N201" s="2"/>
      <c r="O201" s="2"/>
      <c r="P201" s="2"/>
      <c r="Q201" s="2"/>
      <c r="R201" s="2"/>
    </row>
    <row r="202" spans="1:18" ht="15">
      <c r="A202" s="2"/>
      <c r="B202" s="2"/>
      <c r="C202" s="82"/>
      <c r="D202" s="82"/>
      <c r="E202" s="82"/>
      <c r="F202" s="82"/>
      <c r="G202" s="82"/>
      <c r="H202" s="82"/>
      <c r="I202" s="82"/>
      <c r="J202" s="82"/>
      <c r="K202" s="214"/>
      <c r="L202" s="214"/>
      <c r="M202" s="83"/>
      <c r="N202" s="2"/>
      <c r="O202" s="2"/>
      <c r="P202" s="2"/>
      <c r="Q202" s="2"/>
      <c r="R202" s="2"/>
    </row>
    <row r="203" spans="1:18" ht="15">
      <c r="A203" s="2"/>
      <c r="B203" s="2"/>
      <c r="C203" s="82"/>
      <c r="D203" s="82"/>
      <c r="E203" s="82"/>
      <c r="F203" s="82"/>
      <c r="G203" s="82"/>
      <c r="H203" s="82"/>
      <c r="I203" s="82"/>
      <c r="J203" s="82"/>
      <c r="K203" s="214"/>
      <c r="L203" s="214"/>
      <c r="M203" s="83"/>
      <c r="N203" s="2"/>
      <c r="O203" s="2"/>
      <c r="P203" s="2"/>
      <c r="Q203" s="2"/>
      <c r="R203" s="2"/>
    </row>
    <row r="204" spans="1:18" ht="15">
      <c r="A204" s="2"/>
      <c r="B204" s="2"/>
      <c r="C204" s="82"/>
      <c r="D204" s="82"/>
      <c r="E204" s="82"/>
      <c r="F204" s="82"/>
      <c r="G204" s="82"/>
      <c r="H204" s="82"/>
      <c r="I204" s="82"/>
      <c r="J204" s="82"/>
      <c r="K204" s="214"/>
      <c r="L204" s="214"/>
      <c r="M204" s="83"/>
      <c r="N204" s="2"/>
      <c r="O204" s="2"/>
      <c r="P204" s="2"/>
      <c r="Q204" s="2"/>
      <c r="R204" s="2"/>
    </row>
    <row r="205" spans="1:18" ht="15">
      <c r="A205" s="2"/>
      <c r="B205" s="2"/>
      <c r="C205" s="82"/>
      <c r="D205" s="82"/>
      <c r="E205" s="82"/>
      <c r="F205" s="82"/>
      <c r="G205" s="82"/>
      <c r="H205" s="82"/>
      <c r="I205" s="82"/>
      <c r="J205" s="82"/>
      <c r="K205" s="214"/>
      <c r="L205" s="214"/>
      <c r="M205" s="83"/>
      <c r="N205" s="2"/>
      <c r="O205" s="2"/>
      <c r="P205" s="2"/>
      <c r="Q205" s="2"/>
      <c r="R205" s="2"/>
    </row>
    <row r="206" spans="1:18" ht="15">
      <c r="A206" s="2"/>
      <c r="B206" s="2"/>
      <c r="C206" s="82"/>
      <c r="D206" s="82"/>
      <c r="E206" s="82"/>
      <c r="F206" s="82"/>
      <c r="G206" s="82"/>
      <c r="H206" s="82"/>
      <c r="I206" s="82"/>
      <c r="J206" s="82"/>
      <c r="K206" s="214"/>
      <c r="L206" s="214"/>
      <c r="M206" s="83"/>
      <c r="N206" s="2"/>
      <c r="O206" s="2"/>
      <c r="P206" s="2"/>
      <c r="Q206" s="2"/>
      <c r="R206" s="2"/>
    </row>
    <row r="207" spans="1:18" ht="15">
      <c r="A207" s="2"/>
      <c r="B207" s="2"/>
      <c r="C207" s="82"/>
      <c r="D207" s="82"/>
      <c r="E207" s="82"/>
      <c r="F207" s="82"/>
      <c r="G207" s="82"/>
      <c r="H207" s="82"/>
      <c r="I207" s="82"/>
      <c r="J207" s="82"/>
      <c r="K207" s="214"/>
      <c r="L207" s="214"/>
      <c r="M207" s="83"/>
      <c r="N207" s="2"/>
      <c r="O207" s="2"/>
      <c r="P207" s="2"/>
      <c r="Q207" s="2"/>
      <c r="R207" s="2"/>
    </row>
    <row r="208" spans="1:18" ht="15">
      <c r="A208" s="2"/>
      <c r="B208" s="2"/>
      <c r="C208" s="82"/>
      <c r="D208" s="82"/>
      <c r="E208" s="82"/>
      <c r="F208" s="82"/>
      <c r="G208" s="82"/>
      <c r="H208" s="82"/>
      <c r="I208" s="82"/>
      <c r="J208" s="82"/>
      <c r="K208" s="214"/>
      <c r="L208" s="214"/>
      <c r="M208" s="83"/>
      <c r="N208" s="2"/>
      <c r="O208" s="2"/>
      <c r="P208" s="2"/>
      <c r="Q208" s="2"/>
      <c r="R208" s="2"/>
    </row>
    <row r="209" spans="1:18" ht="15">
      <c r="A209" s="2"/>
      <c r="B209" s="2"/>
      <c r="C209" s="82"/>
      <c r="D209" s="82"/>
      <c r="E209" s="82"/>
      <c r="F209" s="82"/>
      <c r="G209" s="82"/>
      <c r="H209" s="82"/>
      <c r="I209" s="82"/>
      <c r="J209" s="82"/>
      <c r="K209" s="214"/>
      <c r="L209" s="214"/>
      <c r="M209" s="83"/>
      <c r="N209" s="2"/>
      <c r="O209" s="2"/>
      <c r="P209" s="2"/>
      <c r="Q209" s="2"/>
      <c r="R209" s="2"/>
    </row>
    <row r="210" spans="1:18" ht="15">
      <c r="A210" s="2"/>
      <c r="B210" s="2"/>
      <c r="C210" s="82"/>
      <c r="D210" s="82"/>
      <c r="E210" s="82"/>
      <c r="F210" s="82"/>
      <c r="G210" s="82"/>
      <c r="H210" s="82"/>
      <c r="I210" s="82"/>
      <c r="J210" s="82"/>
      <c r="K210" s="214"/>
      <c r="L210" s="214"/>
      <c r="M210" s="83"/>
      <c r="N210" s="2"/>
      <c r="O210" s="2"/>
      <c r="P210" s="2"/>
      <c r="Q210" s="2"/>
      <c r="R210" s="2"/>
    </row>
    <row r="211" spans="1:18" ht="15">
      <c r="A211" s="2"/>
      <c r="B211" s="2"/>
      <c r="C211" s="82"/>
      <c r="D211" s="82"/>
      <c r="E211" s="82"/>
      <c r="F211" s="82"/>
      <c r="G211" s="82"/>
      <c r="H211" s="82"/>
      <c r="I211" s="82"/>
      <c r="J211" s="82"/>
      <c r="K211" s="214"/>
      <c r="L211" s="214"/>
      <c r="M211" s="83"/>
      <c r="N211" s="2"/>
      <c r="O211" s="2"/>
      <c r="P211" s="2"/>
      <c r="Q211" s="2"/>
      <c r="R211" s="2"/>
    </row>
    <row r="212" spans="1:18" ht="15">
      <c r="A212" s="2"/>
      <c r="B212" s="2"/>
      <c r="C212" s="82"/>
      <c r="D212" s="82"/>
      <c r="E212" s="82"/>
      <c r="F212" s="82"/>
      <c r="G212" s="82"/>
      <c r="H212" s="82"/>
      <c r="I212" s="82"/>
      <c r="J212" s="82"/>
      <c r="K212" s="214"/>
      <c r="L212" s="214"/>
      <c r="M212" s="83"/>
      <c r="N212" s="2"/>
      <c r="O212" s="2"/>
      <c r="P212" s="2"/>
      <c r="Q212" s="2"/>
      <c r="R212" s="2"/>
    </row>
    <row r="213" spans="1:18" ht="15">
      <c r="A213" s="2"/>
      <c r="B213" s="2"/>
      <c r="C213" s="82"/>
      <c r="D213" s="82"/>
      <c r="E213" s="82"/>
      <c r="F213" s="82"/>
      <c r="G213" s="82"/>
      <c r="H213" s="82"/>
      <c r="I213" s="82"/>
      <c r="J213" s="82"/>
      <c r="K213" s="214"/>
      <c r="L213" s="214"/>
      <c r="M213" s="83"/>
      <c r="N213" s="2"/>
      <c r="O213" s="2"/>
      <c r="P213" s="2"/>
      <c r="Q213" s="2"/>
      <c r="R213" s="2"/>
    </row>
    <row r="214" spans="1:18" ht="15">
      <c r="A214" s="2"/>
      <c r="B214" s="2"/>
      <c r="C214" s="82"/>
      <c r="D214" s="82"/>
      <c r="E214" s="82"/>
      <c r="F214" s="82"/>
      <c r="G214" s="82"/>
      <c r="H214" s="82"/>
      <c r="I214" s="82"/>
      <c r="J214" s="82"/>
      <c r="K214" s="214"/>
      <c r="L214" s="214"/>
      <c r="M214" s="83"/>
      <c r="N214" s="2"/>
      <c r="O214" s="2"/>
      <c r="P214" s="2"/>
      <c r="Q214" s="2"/>
      <c r="R214" s="2"/>
    </row>
    <row r="215" spans="1:18" ht="15">
      <c r="A215" s="2"/>
      <c r="B215" s="2"/>
      <c r="C215" s="82"/>
      <c r="D215" s="82"/>
      <c r="E215" s="82"/>
      <c r="F215" s="82"/>
      <c r="G215" s="82"/>
      <c r="H215" s="82"/>
      <c r="I215" s="82"/>
      <c r="J215" s="82"/>
      <c r="K215" s="214"/>
      <c r="L215" s="214"/>
      <c r="M215" s="83"/>
      <c r="N215" s="2"/>
      <c r="O215" s="2"/>
      <c r="P215" s="2"/>
      <c r="Q215" s="2"/>
      <c r="R215" s="2"/>
    </row>
    <row r="216" spans="1:18" ht="15">
      <c r="A216" s="2"/>
      <c r="B216" s="2"/>
      <c r="C216" s="82"/>
      <c r="D216" s="82"/>
      <c r="E216" s="82"/>
      <c r="F216" s="82"/>
      <c r="G216" s="82"/>
      <c r="H216" s="82"/>
      <c r="I216" s="82"/>
      <c r="J216" s="82"/>
      <c r="K216" s="214"/>
      <c r="L216" s="214"/>
      <c r="M216" s="83"/>
      <c r="N216" s="2"/>
      <c r="O216" s="2"/>
      <c r="P216" s="2"/>
      <c r="Q216" s="2"/>
      <c r="R216" s="2"/>
    </row>
    <row r="217" spans="1:18" ht="15">
      <c r="A217" s="2"/>
      <c r="B217" s="2"/>
      <c r="C217" s="82"/>
      <c r="D217" s="82"/>
      <c r="E217" s="82"/>
      <c r="F217" s="82"/>
      <c r="G217" s="82"/>
      <c r="H217" s="82"/>
      <c r="I217" s="82"/>
      <c r="J217" s="82"/>
      <c r="K217" s="214"/>
      <c r="L217" s="214"/>
      <c r="M217" s="83"/>
      <c r="N217" s="2"/>
      <c r="O217" s="2"/>
      <c r="P217" s="2"/>
      <c r="Q217" s="2"/>
      <c r="R217" s="2"/>
    </row>
    <row r="218" spans="1:18" ht="15">
      <c r="A218" s="2"/>
      <c r="B218" s="2"/>
      <c r="C218" s="82"/>
      <c r="D218" s="82"/>
      <c r="E218" s="82"/>
      <c r="F218" s="82"/>
      <c r="G218" s="82"/>
      <c r="H218" s="82"/>
      <c r="I218" s="82"/>
      <c r="J218" s="82"/>
      <c r="K218" s="214"/>
      <c r="L218" s="214"/>
      <c r="M218" s="83"/>
      <c r="N218" s="2"/>
      <c r="O218" s="2"/>
      <c r="P218" s="2"/>
      <c r="Q218" s="2"/>
      <c r="R218" s="2"/>
    </row>
    <row r="219" spans="1:18" ht="15">
      <c r="A219" s="2"/>
      <c r="B219" s="2"/>
      <c r="C219" s="82"/>
      <c r="D219" s="82"/>
      <c r="E219" s="82"/>
      <c r="F219" s="82"/>
      <c r="G219" s="82"/>
      <c r="H219" s="82"/>
      <c r="I219" s="82"/>
      <c r="J219" s="82"/>
      <c r="K219" s="214"/>
      <c r="L219" s="214"/>
      <c r="M219" s="83"/>
      <c r="N219" s="2"/>
      <c r="O219" s="2"/>
      <c r="P219" s="2"/>
      <c r="Q219" s="2"/>
      <c r="R219" s="2"/>
    </row>
    <row r="220" spans="1:18" ht="15">
      <c r="A220" s="2"/>
      <c r="B220" s="2"/>
      <c r="C220" s="82"/>
      <c r="D220" s="82"/>
      <c r="E220" s="82"/>
      <c r="F220" s="82"/>
      <c r="G220" s="82"/>
      <c r="H220" s="82"/>
      <c r="I220" s="82"/>
      <c r="J220" s="82"/>
      <c r="K220" s="214"/>
      <c r="L220" s="214"/>
      <c r="M220" s="83"/>
      <c r="N220" s="2"/>
      <c r="O220" s="2"/>
      <c r="P220" s="2"/>
      <c r="Q220" s="2"/>
      <c r="R220" s="2"/>
    </row>
    <row r="221" spans="1:18" ht="15">
      <c r="A221" s="2"/>
      <c r="B221" s="2"/>
      <c r="C221" s="82"/>
      <c r="D221" s="82"/>
      <c r="E221" s="82"/>
      <c r="F221" s="82"/>
      <c r="G221" s="82"/>
      <c r="H221" s="82"/>
      <c r="I221" s="82"/>
      <c r="J221" s="82"/>
      <c r="K221" s="214"/>
      <c r="L221" s="214"/>
      <c r="M221" s="83"/>
      <c r="N221" s="2"/>
      <c r="O221" s="2"/>
      <c r="P221" s="2"/>
      <c r="Q221" s="2"/>
      <c r="R221" s="2"/>
    </row>
    <row r="222" spans="1:18" ht="15">
      <c r="A222" s="2"/>
      <c r="B222" s="2"/>
      <c r="C222" s="82"/>
      <c r="D222" s="82"/>
      <c r="E222" s="82"/>
      <c r="F222" s="82"/>
      <c r="G222" s="82"/>
      <c r="H222" s="82"/>
      <c r="I222" s="82"/>
      <c r="J222" s="82"/>
      <c r="K222" s="214"/>
      <c r="L222" s="214"/>
      <c r="M222" s="83"/>
      <c r="N222" s="2"/>
      <c r="O222" s="2"/>
      <c r="P222" s="2"/>
      <c r="Q222" s="2"/>
      <c r="R222" s="2"/>
    </row>
    <row r="223" spans="1:18" ht="15">
      <c r="A223" s="2"/>
      <c r="B223" s="2"/>
      <c r="C223" s="82"/>
      <c r="D223" s="82"/>
      <c r="E223" s="82"/>
      <c r="F223" s="82"/>
      <c r="G223" s="82"/>
      <c r="H223" s="82"/>
      <c r="I223" s="82"/>
      <c r="J223" s="82"/>
      <c r="K223" s="214"/>
      <c r="L223" s="214"/>
      <c r="M223" s="83"/>
      <c r="N223" s="2"/>
      <c r="O223" s="2"/>
      <c r="P223" s="2"/>
      <c r="Q223" s="2"/>
      <c r="R223" s="2"/>
    </row>
    <row r="224" spans="1:18" ht="15">
      <c r="A224" s="2"/>
      <c r="B224" s="2"/>
      <c r="C224" s="82"/>
      <c r="D224" s="82"/>
      <c r="E224" s="82"/>
      <c r="F224" s="82"/>
      <c r="G224" s="82"/>
      <c r="H224" s="82"/>
      <c r="I224" s="82"/>
      <c r="J224" s="82"/>
      <c r="K224" s="214"/>
      <c r="L224" s="214"/>
      <c r="M224" s="83"/>
      <c r="N224" s="2"/>
      <c r="O224" s="2"/>
      <c r="P224" s="2"/>
      <c r="Q224" s="2"/>
      <c r="R224" s="2"/>
    </row>
    <row r="225" spans="1:18" ht="15">
      <c r="A225" s="2"/>
      <c r="B225" s="2"/>
      <c r="C225" s="82"/>
      <c r="D225" s="82"/>
      <c r="E225" s="82"/>
      <c r="F225" s="82"/>
      <c r="G225" s="82"/>
      <c r="H225" s="82"/>
      <c r="I225" s="82"/>
      <c r="J225" s="82"/>
      <c r="K225" s="214"/>
      <c r="L225" s="214"/>
      <c r="M225" s="83"/>
      <c r="N225" s="2"/>
      <c r="O225" s="2"/>
      <c r="P225" s="2"/>
      <c r="Q225" s="2"/>
      <c r="R225" s="2"/>
    </row>
    <row r="226" spans="1:18" ht="15">
      <c r="A226" s="2"/>
      <c r="B226" s="2"/>
      <c r="C226" s="82"/>
      <c r="D226" s="82"/>
      <c r="E226" s="82"/>
      <c r="F226" s="82"/>
      <c r="G226" s="82"/>
      <c r="H226" s="82"/>
      <c r="I226" s="82"/>
      <c r="J226" s="82"/>
      <c r="K226" s="214"/>
      <c r="L226" s="214"/>
      <c r="M226" s="83"/>
      <c r="N226" s="2"/>
      <c r="O226" s="2"/>
      <c r="P226" s="2"/>
      <c r="Q226" s="2"/>
      <c r="R226" s="2"/>
    </row>
    <row r="227" spans="1:18" ht="15">
      <c r="A227" s="2"/>
      <c r="B227" s="2"/>
      <c r="C227" s="82"/>
      <c r="D227" s="82"/>
      <c r="E227" s="82"/>
      <c r="F227" s="82"/>
      <c r="G227" s="82"/>
      <c r="H227" s="82"/>
      <c r="I227" s="82"/>
      <c r="J227" s="82"/>
      <c r="K227" s="214"/>
      <c r="L227" s="214"/>
      <c r="M227" s="83"/>
      <c r="N227" s="2"/>
      <c r="O227" s="2"/>
      <c r="P227" s="2"/>
      <c r="Q227" s="2"/>
      <c r="R227" s="2"/>
    </row>
    <row r="228" spans="1:18" ht="15">
      <c r="A228" s="2"/>
      <c r="B228" s="2"/>
      <c r="C228" s="82"/>
      <c r="D228" s="82"/>
      <c r="E228" s="82"/>
      <c r="F228" s="82"/>
      <c r="G228" s="82"/>
      <c r="H228" s="82"/>
      <c r="I228" s="82"/>
      <c r="J228" s="82"/>
      <c r="K228" s="214"/>
      <c r="L228" s="214"/>
      <c r="M228" s="83"/>
      <c r="N228" s="2"/>
      <c r="O228" s="2"/>
      <c r="P228" s="2"/>
      <c r="Q228" s="2"/>
      <c r="R228" s="2"/>
    </row>
    <row r="229" spans="1:18" ht="15">
      <c r="A229" s="2"/>
      <c r="B229" s="2"/>
      <c r="C229" s="82"/>
      <c r="D229" s="82"/>
      <c r="E229" s="82"/>
      <c r="F229" s="82"/>
      <c r="G229" s="82"/>
      <c r="H229" s="82"/>
      <c r="I229" s="82"/>
      <c r="J229" s="82"/>
      <c r="K229" s="214"/>
      <c r="L229" s="214"/>
      <c r="M229" s="83"/>
      <c r="N229" s="2"/>
      <c r="O229" s="2"/>
      <c r="P229" s="2"/>
      <c r="Q229" s="2"/>
      <c r="R229" s="2"/>
    </row>
    <row r="230" spans="1:18" ht="15">
      <c r="A230" s="2"/>
      <c r="B230" s="2"/>
      <c r="C230" s="82"/>
      <c r="D230" s="82"/>
      <c r="E230" s="82"/>
      <c r="F230" s="82"/>
      <c r="G230" s="82"/>
      <c r="H230" s="82"/>
      <c r="I230" s="82"/>
      <c r="J230" s="82"/>
      <c r="K230" s="214"/>
      <c r="L230" s="214"/>
      <c r="M230" s="83"/>
      <c r="N230" s="2"/>
      <c r="O230" s="2"/>
      <c r="P230" s="2"/>
      <c r="Q230" s="2"/>
      <c r="R230" s="2"/>
    </row>
    <row r="231" spans="1:18" ht="15">
      <c r="A231" s="2"/>
      <c r="B231" s="2"/>
      <c r="C231" s="82"/>
      <c r="D231" s="82"/>
      <c r="E231" s="82"/>
      <c r="F231" s="82"/>
      <c r="G231" s="82"/>
      <c r="H231" s="82"/>
      <c r="I231" s="82"/>
      <c r="J231" s="82"/>
      <c r="K231" s="214"/>
      <c r="L231" s="214"/>
      <c r="M231" s="83"/>
      <c r="N231" s="2"/>
      <c r="O231" s="2"/>
      <c r="P231" s="2"/>
      <c r="Q231" s="2"/>
      <c r="R231" s="2"/>
    </row>
    <row r="232" spans="1:18" ht="15">
      <c r="A232" s="2"/>
      <c r="B232" s="2"/>
      <c r="C232" s="82"/>
      <c r="D232" s="82"/>
      <c r="E232" s="82"/>
      <c r="F232" s="82"/>
      <c r="G232" s="82"/>
      <c r="H232" s="82"/>
      <c r="I232" s="82"/>
      <c r="J232" s="82"/>
      <c r="K232" s="214"/>
      <c r="L232" s="214"/>
      <c r="M232" s="83"/>
      <c r="N232" s="2"/>
      <c r="O232" s="2"/>
      <c r="P232" s="2"/>
      <c r="Q232" s="2"/>
      <c r="R232" s="2"/>
    </row>
    <row r="233" spans="1:18" ht="15">
      <c r="A233" s="2"/>
      <c r="B233" s="2"/>
      <c r="C233" s="82"/>
      <c r="D233" s="82"/>
      <c r="E233" s="82"/>
      <c r="F233" s="82"/>
      <c r="G233" s="82"/>
      <c r="H233" s="82"/>
      <c r="I233" s="82"/>
      <c r="J233" s="82"/>
      <c r="K233" s="214"/>
      <c r="L233" s="214"/>
      <c r="M233" s="83"/>
      <c r="N233" s="2"/>
      <c r="O233" s="2"/>
      <c r="P233" s="2"/>
      <c r="Q233" s="2"/>
      <c r="R233" s="2"/>
    </row>
    <row r="234" spans="1:18" ht="15">
      <c r="A234" s="2"/>
      <c r="B234" s="2"/>
      <c r="C234" s="82"/>
      <c r="D234" s="82"/>
      <c r="E234" s="82"/>
      <c r="F234" s="82"/>
      <c r="G234" s="82"/>
      <c r="H234" s="82"/>
      <c r="I234" s="82"/>
      <c r="J234" s="82"/>
      <c r="K234" s="214"/>
      <c r="L234" s="214"/>
      <c r="M234" s="83"/>
      <c r="N234" s="2"/>
      <c r="O234" s="2"/>
      <c r="P234" s="2"/>
      <c r="Q234" s="2"/>
      <c r="R234" s="2"/>
    </row>
    <row r="235" spans="1:18" ht="15">
      <c r="A235" s="2"/>
      <c r="B235" s="2"/>
      <c r="C235" s="82"/>
      <c r="D235" s="82"/>
      <c r="E235" s="82"/>
      <c r="F235" s="82"/>
      <c r="G235" s="82"/>
      <c r="H235" s="82"/>
      <c r="I235" s="82"/>
      <c r="J235" s="82"/>
      <c r="K235" s="214"/>
      <c r="L235" s="214"/>
      <c r="M235" s="83"/>
      <c r="N235" s="2"/>
      <c r="O235" s="2"/>
      <c r="P235" s="2"/>
      <c r="Q235" s="2"/>
      <c r="R235" s="2"/>
    </row>
    <row r="236" spans="1:18" ht="15">
      <c r="A236" s="2"/>
      <c r="B236" s="2"/>
      <c r="C236" s="82"/>
      <c r="D236" s="82"/>
      <c r="E236" s="82"/>
      <c r="F236" s="82"/>
      <c r="G236" s="82"/>
      <c r="H236" s="82"/>
      <c r="I236" s="82"/>
      <c r="J236" s="82"/>
      <c r="K236" s="214"/>
      <c r="L236" s="214"/>
      <c r="M236" s="83"/>
      <c r="N236" s="2"/>
      <c r="O236" s="2"/>
      <c r="P236" s="2"/>
      <c r="Q236" s="2"/>
      <c r="R236" s="2"/>
    </row>
    <row r="237" spans="1:18" ht="15">
      <c r="A237" s="2"/>
      <c r="B237" s="2"/>
      <c r="C237" s="82"/>
      <c r="D237" s="82"/>
      <c r="E237" s="82"/>
      <c r="F237" s="82"/>
      <c r="G237" s="82"/>
      <c r="H237" s="82"/>
      <c r="I237" s="82"/>
      <c r="J237" s="82"/>
      <c r="K237" s="214"/>
      <c r="L237" s="214"/>
      <c r="M237" s="83"/>
      <c r="N237" s="2"/>
      <c r="O237" s="2"/>
      <c r="P237" s="2"/>
      <c r="Q237" s="2"/>
      <c r="R237" s="2"/>
    </row>
    <row r="238" spans="1:18" ht="15">
      <c r="A238" s="2"/>
      <c r="B238" s="2"/>
      <c r="C238" s="82"/>
      <c r="D238" s="82"/>
      <c r="E238" s="82"/>
      <c r="F238" s="82"/>
      <c r="G238" s="82"/>
      <c r="H238" s="82"/>
      <c r="I238" s="82"/>
      <c r="J238" s="82"/>
      <c r="K238" s="214"/>
      <c r="L238" s="214"/>
      <c r="M238" s="83"/>
      <c r="N238" s="2"/>
      <c r="O238" s="2"/>
      <c r="P238" s="2"/>
      <c r="Q238" s="2"/>
      <c r="R238" s="2"/>
    </row>
    <row r="239" spans="1:18" ht="15">
      <c r="A239" s="2"/>
      <c r="B239" s="2"/>
      <c r="C239" s="82"/>
      <c r="D239" s="82"/>
      <c r="E239" s="82"/>
      <c r="F239" s="82"/>
      <c r="G239" s="82"/>
      <c r="H239" s="82"/>
      <c r="I239" s="82"/>
      <c r="J239" s="82"/>
      <c r="K239" s="214"/>
      <c r="L239" s="214"/>
      <c r="M239" s="83"/>
      <c r="N239" s="2"/>
      <c r="O239" s="2"/>
      <c r="P239" s="2"/>
      <c r="Q239" s="2"/>
      <c r="R239" s="2"/>
    </row>
    <row r="240" spans="1:18" ht="15">
      <c r="A240" s="2"/>
      <c r="B240" s="2"/>
      <c r="C240" s="82"/>
      <c r="D240" s="82"/>
      <c r="E240" s="82"/>
      <c r="F240" s="82"/>
      <c r="G240" s="82"/>
      <c r="H240" s="82"/>
      <c r="I240" s="82"/>
      <c r="J240" s="82"/>
      <c r="K240" s="214"/>
      <c r="L240" s="214"/>
      <c r="M240" s="83"/>
      <c r="N240" s="2"/>
      <c r="O240" s="2"/>
      <c r="P240" s="2"/>
      <c r="Q240" s="2"/>
      <c r="R240" s="2"/>
    </row>
    <row r="241" spans="1:18" ht="15">
      <c r="A241" s="2"/>
      <c r="B241" s="2"/>
      <c r="C241" s="82"/>
      <c r="D241" s="82"/>
      <c r="E241" s="82"/>
      <c r="F241" s="82"/>
      <c r="G241" s="82"/>
      <c r="H241" s="82"/>
      <c r="I241" s="82"/>
      <c r="J241" s="82"/>
      <c r="K241" s="214"/>
      <c r="L241" s="214"/>
      <c r="M241" s="83"/>
      <c r="N241" s="2"/>
      <c r="O241" s="2"/>
      <c r="P241" s="2"/>
      <c r="Q241" s="2"/>
      <c r="R241" s="2"/>
    </row>
    <row r="242" spans="1:18" ht="15">
      <c r="A242" s="2"/>
      <c r="B242" s="2"/>
      <c r="C242" s="82"/>
      <c r="D242" s="82"/>
      <c r="E242" s="82"/>
      <c r="F242" s="82"/>
      <c r="G242" s="82"/>
      <c r="H242" s="82"/>
      <c r="I242" s="82"/>
      <c r="J242" s="82"/>
      <c r="K242" s="214"/>
      <c r="L242" s="214"/>
      <c r="M242" s="83"/>
      <c r="N242" s="2"/>
      <c r="O242" s="2"/>
      <c r="P242" s="2"/>
      <c r="Q242" s="2"/>
      <c r="R242" s="2"/>
    </row>
    <row r="243" spans="1:18" ht="15">
      <c r="A243" s="2"/>
      <c r="B243" s="2"/>
      <c r="C243" s="82"/>
      <c r="D243" s="82"/>
      <c r="E243" s="82"/>
      <c r="F243" s="82"/>
      <c r="G243" s="82"/>
      <c r="H243" s="82"/>
      <c r="I243" s="82"/>
      <c r="J243" s="82"/>
      <c r="K243" s="214"/>
      <c r="L243" s="214"/>
      <c r="M243" s="83"/>
      <c r="N243" s="2"/>
      <c r="O243" s="2"/>
      <c r="P243" s="2"/>
      <c r="Q243" s="2"/>
      <c r="R243" s="2"/>
    </row>
    <row r="244" spans="1:18" ht="15">
      <c r="A244" s="2"/>
      <c r="B244" s="2"/>
      <c r="C244" s="82"/>
      <c r="D244" s="82"/>
      <c r="E244" s="82"/>
      <c r="F244" s="82"/>
      <c r="G244" s="82"/>
      <c r="H244" s="82"/>
      <c r="I244" s="82"/>
      <c r="J244" s="82"/>
      <c r="K244" s="214"/>
      <c r="L244" s="214"/>
      <c r="M244" s="83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14"/>
      <c r="L245" s="214"/>
      <c r="M245" s="83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14"/>
      <c r="L246" s="214"/>
      <c r="M246" s="83"/>
      <c r="N246" s="2"/>
      <c r="O246" s="2"/>
      <c r="P246" s="2"/>
      <c r="Q246" s="2"/>
      <c r="R246" s="2"/>
    </row>
    <row r="247" spans="1:18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14"/>
      <c r="L247" s="214"/>
      <c r="M247" s="83"/>
      <c r="N247" s="2"/>
      <c r="O247" s="2"/>
      <c r="P247" s="2"/>
      <c r="Q247" s="2"/>
      <c r="R247" s="2"/>
    </row>
    <row r="248" spans="1:18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14"/>
      <c r="L248" s="214"/>
      <c r="M248" s="83"/>
      <c r="N248" s="2"/>
      <c r="O248" s="2"/>
      <c r="P248" s="2"/>
      <c r="Q248" s="2"/>
      <c r="R248" s="2"/>
    </row>
    <row r="249" spans="1:18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14"/>
      <c r="L249" s="214"/>
      <c r="M249" s="83"/>
      <c r="N249" s="2"/>
      <c r="O249" s="2"/>
      <c r="P249" s="2"/>
      <c r="Q249" s="2"/>
      <c r="R249" s="2"/>
    </row>
    <row r="250" spans="1:18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14"/>
      <c r="L250" s="214"/>
      <c r="M250" s="83"/>
      <c r="N250" s="2"/>
      <c r="O250" s="2"/>
      <c r="P250" s="2"/>
      <c r="Q250" s="2"/>
      <c r="R250" s="2"/>
    </row>
    <row r="251" spans="1:18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14"/>
      <c r="L251" s="214"/>
      <c r="M251" s="83"/>
      <c r="N251" s="2"/>
      <c r="O251" s="2"/>
      <c r="P251" s="2"/>
      <c r="Q251" s="2"/>
      <c r="R251" s="2"/>
    </row>
    <row r="252" spans="1:18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14"/>
      <c r="L252" s="214"/>
      <c r="M252" s="83"/>
      <c r="N252" s="2"/>
      <c r="O252" s="2"/>
      <c r="P252" s="2"/>
      <c r="Q252" s="2"/>
      <c r="R252" s="2"/>
    </row>
    <row r="253" spans="1:18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14"/>
      <c r="L253" s="214"/>
      <c r="M253" s="83"/>
      <c r="N253" s="2"/>
      <c r="O253" s="2"/>
      <c r="P253" s="2"/>
      <c r="Q253" s="2"/>
      <c r="R253" s="2"/>
    </row>
    <row r="254" spans="1:18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14"/>
      <c r="L254" s="214"/>
      <c r="M254" s="83"/>
      <c r="N254" s="2"/>
      <c r="O254" s="2"/>
      <c r="P254" s="2"/>
      <c r="Q254" s="2"/>
      <c r="R254" s="2"/>
    </row>
    <row r="255" spans="1:18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14"/>
      <c r="L255" s="214"/>
      <c r="M255" s="83"/>
      <c r="N255" s="2"/>
      <c r="O255" s="2"/>
      <c r="P255" s="2"/>
      <c r="Q255" s="2"/>
      <c r="R255" s="2"/>
    </row>
    <row r="256" spans="1:18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14"/>
      <c r="L256" s="214"/>
      <c r="M256" s="83"/>
      <c r="N256" s="2"/>
      <c r="O256" s="2"/>
      <c r="P256" s="2"/>
      <c r="Q256" s="2"/>
      <c r="R256" s="2"/>
    </row>
    <row r="257" spans="1:18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14"/>
      <c r="L257" s="214"/>
      <c r="M257" s="83"/>
      <c r="N257" s="2"/>
      <c r="O257" s="2"/>
      <c r="P257" s="2"/>
      <c r="Q257" s="2"/>
      <c r="R257" s="2"/>
    </row>
    <row r="258" spans="1:18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14"/>
      <c r="L258" s="214"/>
      <c r="M258" s="83"/>
      <c r="N258" s="2"/>
      <c r="O258" s="2"/>
      <c r="P258" s="2"/>
      <c r="Q258" s="2"/>
      <c r="R258" s="2"/>
    </row>
    <row r="259" spans="1:18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14"/>
      <c r="L259" s="214"/>
      <c r="M259" s="83"/>
      <c r="N259" s="2"/>
      <c r="O259" s="2"/>
      <c r="P259" s="2"/>
      <c r="Q259" s="2"/>
      <c r="R259" s="2"/>
    </row>
    <row r="260" spans="1:18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14"/>
      <c r="L260" s="214"/>
      <c r="M260" s="83"/>
      <c r="N260" s="2"/>
      <c r="O260" s="2"/>
      <c r="P260" s="2"/>
      <c r="Q260" s="2"/>
      <c r="R260" s="2"/>
    </row>
    <row r="261" spans="1:18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14"/>
      <c r="L261" s="214"/>
      <c r="M261" s="83"/>
      <c r="N261" s="2"/>
      <c r="O261" s="2"/>
      <c r="P261" s="2"/>
      <c r="Q261" s="2"/>
      <c r="R261" s="2"/>
    </row>
    <row r="262" spans="1:18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14"/>
      <c r="L262" s="214"/>
      <c r="M262" s="83"/>
      <c r="N262" s="2"/>
      <c r="O262" s="2"/>
      <c r="P262" s="2"/>
      <c r="Q262" s="2"/>
      <c r="R262" s="2"/>
    </row>
    <row r="263" spans="1:18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14"/>
      <c r="L263" s="214"/>
      <c r="M263" s="83"/>
      <c r="N263" s="2"/>
      <c r="O263" s="2"/>
      <c r="P263" s="2"/>
      <c r="Q263" s="2"/>
      <c r="R263" s="2"/>
    </row>
    <row r="264" spans="1:1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14"/>
      <c r="L264" s="214"/>
      <c r="M264" s="83"/>
      <c r="N264" s="2"/>
      <c r="O264" s="2"/>
      <c r="P264" s="2"/>
      <c r="Q264" s="2"/>
      <c r="R264" s="2"/>
    </row>
    <row r="265" spans="1:1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14"/>
      <c r="L265" s="214"/>
      <c r="M265" s="83"/>
      <c r="N265" s="2"/>
      <c r="O265" s="2"/>
      <c r="P265" s="2"/>
      <c r="Q265" s="2"/>
      <c r="R265" s="2"/>
    </row>
    <row r="266" spans="1:1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14"/>
      <c r="L266" s="214"/>
      <c r="M266" s="83"/>
      <c r="N266" s="2"/>
      <c r="O266" s="2"/>
      <c r="P266" s="2"/>
      <c r="Q266" s="2"/>
      <c r="R266" s="2"/>
    </row>
    <row r="267" spans="1:1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14"/>
      <c r="L267" s="214"/>
      <c r="M267" s="83"/>
      <c r="N267" s="2"/>
      <c r="O267" s="2"/>
      <c r="P267" s="2"/>
      <c r="Q267" s="2"/>
      <c r="R267" s="2"/>
    </row>
    <row r="268" spans="1:1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14"/>
      <c r="L268" s="214"/>
      <c r="M268" s="83"/>
      <c r="N268" s="2"/>
      <c r="O268" s="2"/>
      <c r="P268" s="2"/>
      <c r="Q268" s="2"/>
      <c r="R268" s="2"/>
    </row>
    <row r="269" spans="1:1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14"/>
      <c r="L269" s="214"/>
      <c r="M269" s="83"/>
      <c r="N269" s="2"/>
      <c r="O269" s="2"/>
      <c r="P269" s="2"/>
      <c r="Q269" s="2"/>
      <c r="R269" s="2"/>
    </row>
    <row r="270" spans="1:1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14"/>
      <c r="L270" s="214"/>
      <c r="M270" s="83"/>
      <c r="N270" s="2"/>
      <c r="O270" s="2"/>
      <c r="P270" s="2"/>
      <c r="Q270" s="2"/>
      <c r="R270" s="2"/>
    </row>
    <row r="271" spans="1:1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14"/>
      <c r="L271" s="214"/>
      <c r="M271" s="83"/>
      <c r="N271" s="2"/>
      <c r="O271" s="2"/>
      <c r="P271" s="2"/>
      <c r="Q271" s="2"/>
      <c r="R271" s="2"/>
    </row>
    <row r="272" spans="1:1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14"/>
      <c r="L272" s="214"/>
      <c r="M272" s="83"/>
      <c r="N272" s="2"/>
      <c r="O272" s="2"/>
      <c r="P272" s="2"/>
      <c r="Q272" s="2"/>
      <c r="R272" s="2"/>
    </row>
    <row r="273" spans="1:1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14"/>
      <c r="L273" s="214"/>
      <c r="M273" s="83"/>
      <c r="N273" s="2"/>
      <c r="O273" s="2"/>
      <c r="P273" s="2"/>
      <c r="Q273" s="2"/>
      <c r="R273" s="2"/>
    </row>
    <row r="274" spans="1:1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14"/>
      <c r="L274" s="214"/>
      <c r="M274" s="83"/>
      <c r="N274" s="2"/>
      <c r="O274" s="2"/>
      <c r="P274" s="2"/>
      <c r="Q274" s="2"/>
      <c r="R274" s="2"/>
    </row>
    <row r="275" spans="1:1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14"/>
      <c r="L275" s="214"/>
      <c r="M275" s="83"/>
      <c r="N275" s="2"/>
      <c r="O275" s="2"/>
      <c r="P275" s="2"/>
      <c r="Q275" s="2"/>
      <c r="R275" s="2"/>
    </row>
    <row r="276" spans="1:1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14"/>
      <c r="L276" s="214"/>
      <c r="M276" s="83"/>
      <c r="N276" s="2"/>
      <c r="O276" s="2"/>
      <c r="P276" s="2"/>
      <c r="Q276" s="2"/>
      <c r="R276" s="2"/>
    </row>
    <row r="277" spans="1:1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14"/>
      <c r="L277" s="214"/>
      <c r="M277" s="83"/>
      <c r="N277" s="2"/>
      <c r="O277" s="2"/>
      <c r="P277" s="2"/>
      <c r="Q277" s="2"/>
      <c r="R277" s="2"/>
    </row>
    <row r="278" spans="1:1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14"/>
      <c r="L278" s="214"/>
      <c r="M278" s="83"/>
      <c r="N278" s="2"/>
      <c r="O278" s="2"/>
      <c r="P278" s="2"/>
      <c r="Q278" s="2"/>
      <c r="R278" s="2"/>
    </row>
    <row r="279" spans="1:1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14"/>
      <c r="L279" s="214"/>
      <c r="M279" s="83"/>
      <c r="N279" s="2"/>
      <c r="O279" s="2"/>
      <c r="P279" s="2"/>
      <c r="Q279" s="2"/>
      <c r="R279" s="2"/>
    </row>
    <row r="280" spans="1:1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14"/>
      <c r="L280" s="214"/>
      <c r="M280" s="83"/>
      <c r="N280" s="2"/>
      <c r="O280" s="2"/>
      <c r="P280" s="2"/>
      <c r="Q280" s="2"/>
      <c r="R280" s="2"/>
    </row>
    <row r="281" spans="1:1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14"/>
      <c r="L281" s="214"/>
      <c r="M281" s="83"/>
      <c r="N281" s="2"/>
      <c r="O281" s="2"/>
      <c r="P281" s="2"/>
      <c r="Q281" s="2"/>
      <c r="R281" s="2"/>
    </row>
    <row r="282" spans="1:1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14"/>
      <c r="L282" s="214"/>
      <c r="M282" s="83"/>
      <c r="N282" s="2"/>
      <c r="O282" s="2"/>
      <c r="P282" s="2"/>
      <c r="Q282" s="2"/>
      <c r="R282" s="2"/>
    </row>
    <row r="283" spans="1:1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14"/>
      <c r="L283" s="214"/>
      <c r="M283" s="83"/>
      <c r="N283" s="2"/>
      <c r="O283" s="2"/>
      <c r="P283" s="2"/>
      <c r="Q283" s="2"/>
      <c r="R283" s="2"/>
    </row>
    <row r="284" spans="1:1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14"/>
      <c r="L284" s="214"/>
      <c r="M284" s="83"/>
      <c r="N284" s="2"/>
      <c r="O284" s="2"/>
      <c r="P284" s="2"/>
      <c r="Q284" s="2"/>
      <c r="R284" s="2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14"/>
      <c r="L285" s="214"/>
      <c r="M285" s="83"/>
      <c r="N285" s="2"/>
      <c r="O285" s="2"/>
      <c r="P285" s="2"/>
      <c r="Q285" s="2"/>
      <c r="R285" s="2"/>
    </row>
    <row r="286" spans="1:1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14"/>
      <c r="L286" s="214"/>
      <c r="M286" s="83"/>
      <c r="N286" s="2"/>
      <c r="O286" s="2"/>
      <c r="P286" s="2"/>
      <c r="Q286" s="2"/>
      <c r="R286" s="2"/>
    </row>
    <row r="287" spans="1:1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14"/>
      <c r="L287" s="214"/>
      <c r="M287" s="83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14"/>
      <c r="L288" s="214"/>
      <c r="M288" s="83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14"/>
      <c r="L289" s="214"/>
      <c r="M289" s="83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14"/>
      <c r="L290" s="214"/>
      <c r="M290" s="83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14"/>
      <c r="L291" s="214"/>
      <c r="M291" s="83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14"/>
      <c r="L292" s="214"/>
      <c r="M292" s="83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14"/>
      <c r="L293" s="214"/>
      <c r="M293" s="83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14"/>
      <c r="L294" s="214"/>
      <c r="M294" s="83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14"/>
      <c r="L295" s="214"/>
      <c r="M295" s="83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14"/>
      <c r="L296" s="214"/>
      <c r="M296" s="83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14"/>
      <c r="L297" s="214"/>
      <c r="M297" s="83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14"/>
      <c r="L298" s="214"/>
      <c r="M298" s="83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14"/>
      <c r="L299" s="214"/>
      <c r="M299" s="83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14"/>
      <c r="L300" s="214"/>
      <c r="M300" s="83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14"/>
      <c r="L301" s="214"/>
      <c r="M301" s="83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14"/>
      <c r="L302" s="214"/>
      <c r="M302" s="83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14"/>
      <c r="L303" s="214"/>
      <c r="M303" s="83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14"/>
      <c r="L304" s="214"/>
      <c r="M304" s="83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14"/>
      <c r="L305" s="214"/>
      <c r="M305" s="83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14"/>
      <c r="L306" s="214"/>
      <c r="M306" s="83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14"/>
      <c r="L307" s="214"/>
      <c r="M307" s="83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14"/>
      <c r="L308" s="214"/>
      <c r="M308" s="83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14"/>
      <c r="L309" s="214"/>
      <c r="M309" s="83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14"/>
      <c r="L310" s="214"/>
      <c r="M310" s="83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14"/>
      <c r="L311" s="214"/>
      <c r="M311" s="83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14"/>
      <c r="L312" s="214"/>
      <c r="M312" s="83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14"/>
      <c r="L313" s="214"/>
      <c r="M313" s="83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14"/>
      <c r="L314" s="214"/>
      <c r="M314" s="83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14"/>
      <c r="L315" s="214"/>
      <c r="M315" s="83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14"/>
      <c r="L316" s="214"/>
      <c r="M316" s="83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14"/>
      <c r="L317" s="214"/>
      <c r="M317" s="83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14"/>
      <c r="L318" s="214"/>
      <c r="M318" s="83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14"/>
      <c r="L319" s="214"/>
      <c r="M319" s="83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14"/>
      <c r="L320" s="214"/>
      <c r="M320" s="83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14"/>
      <c r="L321" s="214"/>
      <c r="M321" s="83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14"/>
      <c r="L322" s="214"/>
      <c r="M322" s="83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14"/>
      <c r="L323" s="214"/>
      <c r="M323" s="83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14"/>
      <c r="L324" s="214"/>
      <c r="M324" s="83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14"/>
      <c r="L325" s="214"/>
      <c r="M325" s="83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14"/>
      <c r="L326" s="214"/>
      <c r="M326" s="83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14"/>
      <c r="L327" s="214"/>
      <c r="M327" s="83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14"/>
      <c r="L328" s="214"/>
      <c r="M328" s="83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14"/>
      <c r="L329" s="214"/>
      <c r="M329" s="83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14"/>
      <c r="L330" s="214"/>
      <c r="M330" s="83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14"/>
      <c r="L331" s="214"/>
      <c r="M331" s="83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14"/>
      <c r="L332" s="214"/>
      <c r="M332" s="83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14"/>
      <c r="L333" s="214"/>
      <c r="M333" s="83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14"/>
      <c r="L334" s="214"/>
      <c r="M334" s="83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14"/>
      <c r="L335" s="214"/>
      <c r="M335" s="83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14"/>
      <c r="L336" s="214"/>
      <c r="M336" s="83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14"/>
      <c r="L337" s="214"/>
      <c r="M337" s="83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14"/>
      <c r="L338" s="214"/>
      <c r="M338" s="83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14"/>
      <c r="L339" s="214"/>
      <c r="M339" s="83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14"/>
      <c r="L340" s="214"/>
      <c r="M340" s="83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14"/>
      <c r="L341" s="214"/>
      <c r="M341" s="83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14"/>
      <c r="L342" s="214"/>
      <c r="M342" s="83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14"/>
      <c r="L343" s="214"/>
      <c r="M343" s="83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14"/>
      <c r="L344" s="214"/>
      <c r="M344" s="83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14"/>
      <c r="L345" s="214"/>
      <c r="M345" s="83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14"/>
      <c r="L346" s="214"/>
      <c r="M346" s="83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14"/>
      <c r="L347" s="214"/>
      <c r="M347" s="83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14"/>
      <c r="L348" s="214"/>
      <c r="M348" s="83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14"/>
      <c r="L349" s="214"/>
      <c r="M349" s="83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14"/>
      <c r="L350" s="214"/>
      <c r="M350" s="83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14"/>
      <c r="L351" s="214"/>
      <c r="M351" s="83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14"/>
      <c r="L352" s="214"/>
      <c r="M352" s="83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14"/>
      <c r="L353" s="214"/>
      <c r="M353" s="83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14"/>
      <c r="L354" s="214"/>
      <c r="M354" s="83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14"/>
      <c r="L355" s="214"/>
      <c r="M355" s="83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14"/>
      <c r="L356" s="214"/>
      <c r="M356" s="83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14"/>
      <c r="L357" s="214"/>
      <c r="M357" s="83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14"/>
      <c r="L358" s="214"/>
      <c r="M358" s="83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14"/>
      <c r="L359" s="214"/>
      <c r="M359" s="83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14"/>
      <c r="L360" s="214"/>
      <c r="M360" s="83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14"/>
      <c r="L361" s="214"/>
      <c r="M361" s="83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14"/>
      <c r="L362" s="214"/>
      <c r="M362" s="83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14"/>
      <c r="L363" s="214"/>
      <c r="M363" s="83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14"/>
      <c r="L364" s="214"/>
      <c r="M364" s="83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14"/>
      <c r="L365" s="214"/>
      <c r="M365" s="83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14"/>
      <c r="L366" s="214"/>
      <c r="M366" s="83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14"/>
      <c r="L367" s="214"/>
      <c r="M367" s="83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14"/>
      <c r="L368" s="214"/>
      <c r="M368" s="83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14"/>
      <c r="L369" s="214"/>
      <c r="M369" s="83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14"/>
      <c r="L370" s="214"/>
      <c r="M370" s="83"/>
      <c r="N370" s="2"/>
      <c r="O370" s="2"/>
      <c r="P370" s="2"/>
      <c r="Q370" s="2"/>
      <c r="R370" s="2"/>
    </row>
  </sheetData>
  <printOptions horizontalCentered="1"/>
  <pageMargins left="0.7" right="0.25" top="0.319444444444444" bottom="0.2" header="0.5" footer="0.5"/>
  <pageSetup horizontalDpi="600" verticalDpi="600" orientation="landscape" scale="63" r:id="rId1"/>
  <rowBreaks count="1" manualBreakCount="1">
    <brk id="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11.88671875" style="88" customWidth="1"/>
    <col min="2" max="2" width="10.99609375" style="88" customWidth="1"/>
    <col min="3" max="3" width="16.10546875" style="88" customWidth="1"/>
    <col min="4" max="4" width="16.21484375" style="88" customWidth="1"/>
    <col min="5" max="5" width="12.88671875" style="88" customWidth="1"/>
    <col min="6" max="6" width="14.3359375" style="88" customWidth="1"/>
    <col min="7" max="7" width="17.88671875" style="88" customWidth="1"/>
    <col min="8" max="8" width="15.4453125" style="88" customWidth="1"/>
    <col min="9" max="9" width="14.6640625" style="88" customWidth="1"/>
    <col min="10" max="10" width="11.5546875" style="88" customWidth="1"/>
    <col min="11" max="11" width="12.77734375" style="88" customWidth="1"/>
    <col min="12" max="12" width="14.5546875" style="88" customWidth="1"/>
    <col min="13" max="13" width="10.21484375" style="88" customWidth="1"/>
    <col min="14" max="14" width="13.88671875" style="88" customWidth="1"/>
    <col min="15" max="15" width="3.77734375" style="88" customWidth="1"/>
    <col min="16" max="16384" width="9.6640625" style="88" customWidth="1"/>
  </cols>
  <sheetData>
    <row r="1" spans="1:14" ht="23.25">
      <c r="A1" s="86" t="s">
        <v>0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23.25">
      <c r="A2" s="86" t="s">
        <v>24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23.25">
      <c r="A3" s="86" t="s">
        <v>72</v>
      </c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23.25">
      <c r="A4" s="86"/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24" thickBot="1">
      <c r="A5" s="86" t="s">
        <v>25</v>
      </c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5" ht="16.5" thickTop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90" t="s">
        <v>26</v>
      </c>
      <c r="O6" s="91"/>
    </row>
    <row r="7" spans="1:15" ht="15.75">
      <c r="A7" s="92" t="s">
        <v>27</v>
      </c>
      <c r="B7" s="93" t="s">
        <v>13</v>
      </c>
      <c r="C7" s="93" t="s">
        <v>15</v>
      </c>
      <c r="D7" s="93" t="s">
        <v>59</v>
      </c>
      <c r="E7" s="93" t="s">
        <v>28</v>
      </c>
      <c r="F7" s="93" t="s">
        <v>17</v>
      </c>
      <c r="G7" s="93" t="s">
        <v>18</v>
      </c>
      <c r="H7" s="93" t="s">
        <v>58</v>
      </c>
      <c r="I7" s="93" t="s">
        <v>29</v>
      </c>
      <c r="J7" s="93" t="s">
        <v>61</v>
      </c>
      <c r="K7" s="93" t="s">
        <v>56</v>
      </c>
      <c r="L7" s="93" t="s">
        <v>20</v>
      </c>
      <c r="M7" s="93" t="s">
        <v>57</v>
      </c>
      <c r="N7" s="93" t="s">
        <v>30</v>
      </c>
      <c r="O7" s="91"/>
    </row>
    <row r="8" spans="1:15" ht="15.75" thickBo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1"/>
    </row>
    <row r="9" spans="1:15" ht="15.75" thickTop="1">
      <c r="A9" s="95"/>
      <c r="B9" s="95"/>
      <c r="C9" s="95"/>
      <c r="D9" s="95"/>
      <c r="E9" s="96"/>
      <c r="F9" s="96"/>
      <c r="G9" s="96"/>
      <c r="H9" s="96"/>
      <c r="I9" s="95"/>
      <c r="J9" s="95"/>
      <c r="K9" s="95"/>
      <c r="L9" s="95"/>
      <c r="M9" s="95"/>
      <c r="N9" s="95"/>
      <c r="O9" s="91"/>
    </row>
    <row r="10" spans="1:15" ht="15.75">
      <c r="A10" s="97">
        <f>DATE(2011,7,1)</f>
        <v>40725</v>
      </c>
      <c r="B10" s="98">
        <f>'MONTHLY STATS'!$C$9*2</f>
        <v>946942</v>
      </c>
      <c r="C10" s="98">
        <f>'MONTHLY STATS'!$C$16*2</f>
        <v>410148</v>
      </c>
      <c r="D10" s="98">
        <f>'MONTHLY STATS'!$C$23*2</f>
        <v>174054</v>
      </c>
      <c r="E10" s="98">
        <f>'MONTHLY STATS'!$C$30*2</f>
        <v>1235346</v>
      </c>
      <c r="F10" s="98">
        <f>'MONTHLY STATS'!$C$37*2</f>
        <v>883842</v>
      </c>
      <c r="G10" s="98">
        <f>'MONTHLY STATS'!$C$44*2</f>
        <v>542104</v>
      </c>
      <c r="H10" s="98">
        <f>'MONTHLY STATS'!$C$51*2</f>
        <v>1141696</v>
      </c>
      <c r="I10" s="98">
        <f>'MONTHLY STATS'!$C$58*2</f>
        <v>1312686</v>
      </c>
      <c r="J10" s="98">
        <f>'MONTHLY STATS'!$C$65*2</f>
        <v>1148712</v>
      </c>
      <c r="K10" s="98">
        <f>'MONTHLY STATS'!$C$72*2</f>
        <v>207794</v>
      </c>
      <c r="L10" s="98">
        <f>'MONTHLY STATS'!$C$79*2</f>
        <v>1333144</v>
      </c>
      <c r="M10" s="98">
        <f>'MONTHLY STATS'!$C$86*2</f>
        <v>0</v>
      </c>
      <c r="N10" s="99">
        <f>SUM(B10:M10)</f>
        <v>9336468</v>
      </c>
      <c r="O10" s="91"/>
    </row>
    <row r="11" spans="1:15" ht="15.75">
      <c r="A11" s="97">
        <f>DATE(2011,8,1)</f>
        <v>40756</v>
      </c>
      <c r="B11" s="98">
        <f>'MONTHLY STATS'!$C$10*2</f>
        <v>872648</v>
      </c>
      <c r="C11" s="98">
        <f>'MONTHLY STATS'!$C$17*2</f>
        <v>373264</v>
      </c>
      <c r="D11" s="98">
        <f>'MONTHLY STATS'!$C$24*2</f>
        <v>149430</v>
      </c>
      <c r="E11" s="98">
        <f>'MONTHLY STATS'!$C$31*2</f>
        <v>1115354</v>
      </c>
      <c r="F11" s="98">
        <f>'MONTHLY STATS'!$C$38*2</f>
        <v>835444</v>
      </c>
      <c r="G11" s="98">
        <f>'MONTHLY STATS'!$C$45*2</f>
        <v>558562</v>
      </c>
      <c r="H11" s="98">
        <f>'MONTHLY STATS'!$C$52*2</f>
        <v>1040478</v>
      </c>
      <c r="I11" s="98">
        <f>'MONTHLY STATS'!$C$59*2</f>
        <v>1169652</v>
      </c>
      <c r="J11" s="98">
        <f>'MONTHLY STATS'!$C$66*2</f>
        <v>1073548</v>
      </c>
      <c r="K11" s="98">
        <f>'MONTHLY STATS'!$C$73*2</f>
        <v>184182</v>
      </c>
      <c r="L11" s="98">
        <f>'MONTHLY STATS'!$C$80*2</f>
        <v>1323764</v>
      </c>
      <c r="M11" s="98">
        <f>'MONTHLY STATS'!$C$86*2</f>
        <v>0</v>
      </c>
      <c r="N11" s="99">
        <f>SUM(B11:M11)</f>
        <v>8696326</v>
      </c>
      <c r="O11" s="91"/>
    </row>
    <row r="12" spans="1:15" ht="15.75">
      <c r="A12" s="97">
        <f>DATE(2011,9,1)</f>
        <v>40787</v>
      </c>
      <c r="B12" s="98">
        <f>'MONTHLY STATS'!$C$11*2</f>
        <v>858172</v>
      </c>
      <c r="C12" s="98">
        <f>'MONTHLY STATS'!$C$18*2</f>
        <v>357822</v>
      </c>
      <c r="D12" s="98">
        <f>'MONTHLY STATS'!$C$25*2</f>
        <v>161970</v>
      </c>
      <c r="E12" s="98">
        <f>'MONTHLY STATS'!$C$32*2</f>
        <v>1136418</v>
      </c>
      <c r="F12" s="98">
        <f>'MONTHLY STATS'!$C$39*2</f>
        <v>790748</v>
      </c>
      <c r="G12" s="98">
        <f>'MONTHLY STATS'!$C$46*2</f>
        <v>517894</v>
      </c>
      <c r="H12" s="98">
        <f>'MONTHLY STATS'!$C$53*2</f>
        <v>1083436</v>
      </c>
      <c r="I12" s="98">
        <f>'MONTHLY STATS'!$C$60*2</f>
        <v>1162138</v>
      </c>
      <c r="J12" s="98">
        <f>'MONTHLY STATS'!$C$67*2</f>
        <v>1055666</v>
      </c>
      <c r="K12" s="98">
        <f>'MONTHLY STATS'!$C$74*2</f>
        <v>188440</v>
      </c>
      <c r="L12" s="98">
        <f>'MONTHLY STATS'!$C$81*2</f>
        <v>1243540</v>
      </c>
      <c r="M12" s="98">
        <f>'MONTHLY STATS'!$C$88*2</f>
        <v>21866</v>
      </c>
      <c r="N12" s="99">
        <f>SUM(B12:M12)</f>
        <v>8578110</v>
      </c>
      <c r="O12" s="91"/>
    </row>
    <row r="13" spans="1:15" ht="15.75">
      <c r="A13" s="97">
        <f>DATE(2011,10,1)</f>
        <v>40817</v>
      </c>
      <c r="B13" s="98">
        <f>'MONTHLY STATS'!$C$12*2</f>
        <v>851100</v>
      </c>
      <c r="C13" s="98">
        <f>'MONTHLY STATS'!$C$19*2</f>
        <v>351104</v>
      </c>
      <c r="D13" s="98">
        <f>'MONTHLY STATS'!$C$26*2</f>
        <v>151326</v>
      </c>
      <c r="E13" s="98">
        <f>'MONTHLY STATS'!$C$33*2</f>
        <v>1088124</v>
      </c>
      <c r="F13" s="98">
        <f>'MONTHLY STATS'!$C$40*2</f>
        <v>810200</v>
      </c>
      <c r="G13" s="98">
        <f>'MONTHLY STATS'!$C$47*2</f>
        <v>537630</v>
      </c>
      <c r="H13" s="98">
        <f>'MONTHLY STATS'!$C$54*2</f>
        <v>1028564</v>
      </c>
      <c r="I13" s="98">
        <f>'MONTHLY STATS'!$C$61*2</f>
        <v>1142976</v>
      </c>
      <c r="J13" s="98">
        <f>'MONTHLY STATS'!$C$68*2</f>
        <v>1034806</v>
      </c>
      <c r="K13" s="98">
        <f>'MONTHLY STATS'!$C$75*2</f>
        <v>183826</v>
      </c>
      <c r="L13" s="98">
        <f>'MONTHLY STATS'!$C$82*2</f>
        <v>1182280</v>
      </c>
      <c r="M13" s="98">
        <f>'MONTHLY STATS'!$C$89*2</f>
        <v>229506</v>
      </c>
      <c r="N13" s="99">
        <f>SUM(B13:M13)</f>
        <v>8591442</v>
      </c>
      <c r="O13" s="91"/>
    </row>
    <row r="14" spans="1:15" ht="15.75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91"/>
    </row>
    <row r="15" spans="1:15" ht="15.75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91"/>
    </row>
    <row r="16" spans="1:15" ht="15.75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9"/>
      <c r="O16" s="91"/>
    </row>
    <row r="17" spans="1:15" ht="15.75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  <c r="O17" s="91"/>
    </row>
    <row r="18" spans="1:15" ht="15.75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9"/>
      <c r="O18" s="91"/>
    </row>
    <row r="19" spans="1:15" ht="15.75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  <c r="O19" s="91"/>
    </row>
    <row r="20" spans="1:15" ht="15.75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9"/>
      <c r="O20" s="91"/>
    </row>
    <row r="21" spans="1:15" ht="15.75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  <c r="O21" s="91"/>
    </row>
    <row r="22" spans="1:15" ht="15.7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9"/>
      <c r="O22" s="91"/>
    </row>
    <row r="23" spans="1:15" ht="15.75">
      <c r="A23" s="100" t="s">
        <v>31</v>
      </c>
      <c r="B23" s="99">
        <f aca="true" t="shared" si="0" ref="B23:N23">SUM(B10:B21)</f>
        <v>3528862</v>
      </c>
      <c r="C23" s="99">
        <f t="shared" si="0"/>
        <v>1492338</v>
      </c>
      <c r="D23" s="99">
        <f t="shared" si="0"/>
        <v>636780</v>
      </c>
      <c r="E23" s="99">
        <f t="shared" si="0"/>
        <v>4575242</v>
      </c>
      <c r="F23" s="99">
        <f t="shared" si="0"/>
        <v>3320234</v>
      </c>
      <c r="G23" s="99">
        <f t="shared" si="0"/>
        <v>2156190</v>
      </c>
      <c r="H23" s="99">
        <f>SUM(H10:H21)</f>
        <v>4294174</v>
      </c>
      <c r="I23" s="99">
        <f t="shared" si="0"/>
        <v>4787452</v>
      </c>
      <c r="J23" s="99">
        <f>SUM(J10:J21)</f>
        <v>4312732</v>
      </c>
      <c r="K23" s="99">
        <f t="shared" si="0"/>
        <v>764242</v>
      </c>
      <c r="L23" s="99">
        <f t="shared" si="0"/>
        <v>5082728</v>
      </c>
      <c r="M23" s="99">
        <f t="shared" si="0"/>
        <v>251372</v>
      </c>
      <c r="N23" s="99">
        <f t="shared" si="0"/>
        <v>35202346</v>
      </c>
      <c r="O23" s="91"/>
    </row>
    <row r="24" spans="1:15" ht="16.5" thickBot="1">
      <c r="A24" s="101"/>
      <c r="B24" s="99"/>
      <c r="C24" s="99"/>
      <c r="D24" s="99"/>
      <c r="E24" s="98"/>
      <c r="F24" s="98"/>
      <c r="G24" s="98"/>
      <c r="H24" s="98"/>
      <c r="I24" s="99"/>
      <c r="J24" s="99"/>
      <c r="K24" s="99"/>
      <c r="L24" s="99"/>
      <c r="M24" s="99"/>
      <c r="N24" s="99"/>
      <c r="O24" s="91"/>
    </row>
    <row r="25" spans="1:14" ht="15.75" thickTop="1">
      <c r="A25" s="102"/>
      <c r="B25" s="103"/>
      <c r="C25" s="103"/>
      <c r="D25" s="103"/>
      <c r="E25" s="103"/>
      <c r="F25" s="103"/>
      <c r="G25" s="103"/>
      <c r="H25" s="103"/>
      <c r="I25" s="103"/>
      <c r="J25" s="104"/>
      <c r="K25" s="104"/>
      <c r="L25" s="104"/>
      <c r="M25" s="104"/>
      <c r="N25" s="104"/>
    </row>
    <row r="26" spans="1:14" ht="24" thickBot="1">
      <c r="A26" s="105" t="s">
        <v>32</v>
      </c>
      <c r="B26" s="106"/>
      <c r="C26" s="107"/>
      <c r="D26" s="107"/>
      <c r="E26" s="107"/>
      <c r="F26" s="107"/>
      <c r="G26" s="107"/>
      <c r="H26" s="107"/>
      <c r="I26" s="107"/>
      <c r="J26" s="108"/>
      <c r="K26" s="108"/>
      <c r="L26" s="108"/>
      <c r="M26" s="108"/>
      <c r="N26" s="108"/>
    </row>
    <row r="27" spans="1:15" ht="16.5" thickTop="1">
      <c r="A27" s="109"/>
      <c r="B27" s="110"/>
      <c r="C27" s="110"/>
      <c r="D27" s="110"/>
      <c r="E27" s="111"/>
      <c r="F27" s="111"/>
      <c r="G27" s="111"/>
      <c r="H27" s="111"/>
      <c r="I27" s="110"/>
      <c r="J27" s="112"/>
      <c r="K27" s="112"/>
      <c r="L27" s="112"/>
      <c r="M27" s="112"/>
      <c r="N27" s="113" t="s">
        <v>26</v>
      </c>
      <c r="O27" s="91"/>
    </row>
    <row r="28" spans="1:15" ht="15.75">
      <c r="A28" s="114" t="s">
        <v>27</v>
      </c>
      <c r="B28" s="93" t="s">
        <v>13</v>
      </c>
      <c r="C28" s="93" t="s">
        <v>15</v>
      </c>
      <c r="D28" s="93" t="s">
        <v>59</v>
      </c>
      <c r="E28" s="93" t="s">
        <v>28</v>
      </c>
      <c r="F28" s="93" t="s">
        <v>17</v>
      </c>
      <c r="G28" s="93" t="s">
        <v>18</v>
      </c>
      <c r="H28" s="93" t="s">
        <v>58</v>
      </c>
      <c r="I28" s="93" t="s">
        <v>29</v>
      </c>
      <c r="J28" s="115" t="s">
        <v>61</v>
      </c>
      <c r="K28" s="115" t="s">
        <v>56</v>
      </c>
      <c r="L28" s="115" t="s">
        <v>20</v>
      </c>
      <c r="M28" s="115" t="s">
        <v>57</v>
      </c>
      <c r="N28" s="115" t="s">
        <v>30</v>
      </c>
      <c r="O28" s="91"/>
    </row>
    <row r="29" spans="1:15" ht="16.5" thickBot="1">
      <c r="A29" s="116"/>
      <c r="B29" s="117"/>
      <c r="C29" s="117"/>
      <c r="D29" s="117"/>
      <c r="E29" s="93"/>
      <c r="F29" s="93"/>
      <c r="G29" s="93"/>
      <c r="H29" s="93"/>
      <c r="I29" s="117"/>
      <c r="J29" s="118"/>
      <c r="K29" s="118"/>
      <c r="L29" s="118"/>
      <c r="M29" s="118"/>
      <c r="N29" s="118"/>
      <c r="O29" s="91"/>
    </row>
    <row r="30" spans="1:15" ht="15.75" thickTop="1">
      <c r="A30" s="119"/>
      <c r="B30" s="120"/>
      <c r="C30" s="120"/>
      <c r="D30" s="120"/>
      <c r="E30" s="121"/>
      <c r="F30" s="121"/>
      <c r="G30" s="121"/>
      <c r="H30" s="121"/>
      <c r="I30" s="120"/>
      <c r="J30" s="122"/>
      <c r="K30" s="122"/>
      <c r="L30" s="122"/>
      <c r="M30" s="122"/>
      <c r="N30" s="122"/>
      <c r="O30" s="91"/>
    </row>
    <row r="31" spans="1:15" ht="15.75">
      <c r="A31" s="97">
        <f>DATE(2011,7,1)</f>
        <v>40725</v>
      </c>
      <c r="B31" s="98">
        <f>'MONTHLY STATS'!$K$9*0.21</f>
        <v>3512225.4573</v>
      </c>
      <c r="C31" s="98">
        <f>'MONTHLY STATS'!$K$16*0.21</f>
        <v>1580683.0662</v>
      </c>
      <c r="D31" s="98">
        <f>'MONTHLY STATS'!$K$23*0.21</f>
        <v>638599.3236</v>
      </c>
      <c r="E31" s="98">
        <f>'MONTHLY STATS'!$K$30*0.21</f>
        <v>5140611.4536</v>
      </c>
      <c r="F31" s="98">
        <f>'MONTHLY STATS'!$K$37*0.21</f>
        <v>3646660.9977</v>
      </c>
      <c r="G31" s="98">
        <f>'MONTHLY STATS'!$K$44*0.21</f>
        <v>1530627.1994999999</v>
      </c>
      <c r="H31" s="98">
        <f>'MONTHLY STATS'!$K$51*0.21</f>
        <v>3189143.3175</v>
      </c>
      <c r="I31" s="98">
        <f>'MONTHLY STATS'!$K$58*0.21</f>
        <v>4473142.6719</v>
      </c>
      <c r="J31" s="98">
        <f>'MONTHLY STATS'!$K$65*0.21</f>
        <v>3639826.7492999993</v>
      </c>
      <c r="K31" s="98">
        <f>'MONTHLY STATS'!$K$72*0.21</f>
        <v>708026.2035</v>
      </c>
      <c r="L31" s="98">
        <f>'MONTHLY STATS'!$K$79*0.21</f>
        <v>5136789.289799999</v>
      </c>
      <c r="M31" s="98">
        <f>'MONTHLY STATS'!$K$86*0.21</f>
        <v>0</v>
      </c>
      <c r="N31" s="99">
        <f>SUM(B31:M31)</f>
        <v>33196335.7299</v>
      </c>
      <c r="O31" s="91"/>
    </row>
    <row r="32" spans="1:15" ht="15.75">
      <c r="A32" s="97">
        <f>DATE(2011,8,1)</f>
        <v>40756</v>
      </c>
      <c r="B32" s="98">
        <f>'MONTHLY STATS'!$K$10*0.21</f>
        <v>3384664.0442999997</v>
      </c>
      <c r="C32" s="98">
        <f>'MONTHLY STATS'!$K$17*0.21</f>
        <v>1458409.869</v>
      </c>
      <c r="D32" s="98">
        <f>'MONTHLY STATS'!$K$24*0.21</f>
        <v>572995.5252</v>
      </c>
      <c r="E32" s="98">
        <f>'MONTHLY STATS'!$K$31*0.21</f>
        <v>4432386.273</v>
      </c>
      <c r="F32" s="98">
        <f>'MONTHLY STATS'!$K$38*0.21</f>
        <v>3353185.7079</v>
      </c>
      <c r="G32" s="98">
        <f>'MONTHLY STATS'!$K$45*0.21</f>
        <v>1502535.9552</v>
      </c>
      <c r="H32" s="98">
        <f>'MONTHLY STATS'!$K$52*0.21</f>
        <v>2888252.1549</v>
      </c>
      <c r="I32" s="98">
        <f>'MONTHLY STATS'!$K$59*0.21</f>
        <v>3942131.3903999995</v>
      </c>
      <c r="J32" s="98">
        <f>'MONTHLY STATS'!$K$66*0.21</f>
        <v>3475469.4891</v>
      </c>
      <c r="K32" s="98">
        <f>'MONTHLY STATS'!$K$73*0.21</f>
        <v>630196.5915</v>
      </c>
      <c r="L32" s="98">
        <f>'MONTHLY STATS'!$K$80*0.21</f>
        <v>4665572.2512</v>
      </c>
      <c r="M32" s="98">
        <f>'MONTHLY STATS'!$K$86*0.21</f>
        <v>0</v>
      </c>
      <c r="N32" s="99">
        <f>SUM(B32:M32)</f>
        <v>30305799.2517</v>
      </c>
      <c r="O32" s="91"/>
    </row>
    <row r="33" spans="1:15" ht="15.75">
      <c r="A33" s="97">
        <f>DATE(2011,9,1)</f>
        <v>40787</v>
      </c>
      <c r="B33" s="98">
        <f>'MONTHLY STATS'!$K$11*0.21</f>
        <v>3310039.3578</v>
      </c>
      <c r="C33" s="98">
        <f>'MONTHLY STATS'!$K$18*0.21</f>
        <v>1442309.8368</v>
      </c>
      <c r="D33" s="98">
        <f>'MONTHLY STATS'!$K$25*0.21</f>
        <v>584248.7363999999</v>
      </c>
      <c r="E33" s="98">
        <f>'MONTHLY STATS'!$K$32*0.21</f>
        <v>4614298.7415</v>
      </c>
      <c r="F33" s="98">
        <f>'MONTHLY STATS'!$K$39*0.21</f>
        <v>3413639.8505999995</v>
      </c>
      <c r="G33" s="98">
        <f>'MONTHLY STATS'!$K$46*0.21</f>
        <v>1459635.597</v>
      </c>
      <c r="H33" s="98">
        <f>'MONTHLY STATS'!$K$53*0.21</f>
        <v>3042148.9665</v>
      </c>
      <c r="I33" s="98">
        <f>'MONTHLY STATS'!$K$60*0.21</f>
        <v>3970575.1239</v>
      </c>
      <c r="J33" s="98">
        <f>'MONTHLY STATS'!$K$67*0.21</f>
        <v>3359723.514</v>
      </c>
      <c r="K33" s="98">
        <f>'MONTHLY STATS'!$K$74*0.21</f>
        <v>659446.4793</v>
      </c>
      <c r="L33" s="98">
        <f>'MONTHLY STATS'!$K$81*0.21</f>
        <v>4708071.5367</v>
      </c>
      <c r="M33" s="98">
        <f>'MONTHLY STATS'!$K$88*0.21</f>
        <v>75016.5717</v>
      </c>
      <c r="N33" s="99">
        <f>SUM(B33:M33)</f>
        <v>30639154.312199995</v>
      </c>
      <c r="O33" s="91"/>
    </row>
    <row r="34" spans="1:15" ht="15.75">
      <c r="A34" s="97">
        <f>DATE(2011,10,1)</f>
        <v>40817</v>
      </c>
      <c r="B34" s="98">
        <f>'MONTHLY STATS'!$K$12*0.21</f>
        <v>3315221.3891999996</v>
      </c>
      <c r="C34" s="98">
        <f>'MONTHLY STATS'!$K$19*0.21</f>
        <v>1395817.0611</v>
      </c>
      <c r="D34" s="98">
        <f>'MONTHLY STATS'!$K$26*0.21</f>
        <v>587639.8857</v>
      </c>
      <c r="E34" s="98">
        <f>'MONTHLY STATS'!$K$33*0.21</f>
        <v>4545395.7276</v>
      </c>
      <c r="F34" s="98">
        <f>'MONTHLY STATS'!$K$40*0.21</f>
        <v>3265397.6397</v>
      </c>
      <c r="G34" s="98">
        <f>'MONTHLY STATS'!$K$47*0.21</f>
        <v>1459951.0611</v>
      </c>
      <c r="H34" s="98">
        <f>'MONTHLY STATS'!$K$54*0.21</f>
        <v>2933964.3416999998</v>
      </c>
      <c r="I34" s="98">
        <f>'MONTHLY STATS'!$K$61*0.21</f>
        <v>4135177.0908</v>
      </c>
      <c r="J34" s="98">
        <f>'MONTHLY STATS'!$K$68*0.21</f>
        <v>3081957.4611</v>
      </c>
      <c r="K34" s="98">
        <f>'MONTHLY STATS'!$K$75*0.21</f>
        <v>646146.6795</v>
      </c>
      <c r="L34" s="98">
        <f>'MONTHLY STATS'!$K$82*0.21</f>
        <v>4653607.5516</v>
      </c>
      <c r="M34" s="98">
        <f>'MONTHLY STATS'!$K$89*0.21</f>
        <v>758404.4391</v>
      </c>
      <c r="N34" s="99">
        <f>SUM(B34:M34)</f>
        <v>30778680.3282</v>
      </c>
      <c r="O34" s="91"/>
    </row>
    <row r="35" spans="1:15" ht="15.75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  <c r="O35" s="91"/>
    </row>
    <row r="36" spans="1:15" ht="15.7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9"/>
      <c r="O36" s="91"/>
    </row>
    <row r="37" spans="1:15" ht="15.75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9"/>
      <c r="O37" s="91"/>
    </row>
    <row r="38" spans="1:15" ht="15.75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9"/>
      <c r="O38" s="91"/>
    </row>
    <row r="39" spans="1:15" ht="15.75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9"/>
      <c r="O39" s="91"/>
    </row>
    <row r="40" spans="1:15" ht="15.75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9"/>
      <c r="O40" s="91"/>
    </row>
    <row r="41" spans="1:15" ht="15.75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9"/>
      <c r="O41" s="91"/>
    </row>
    <row r="42" spans="1:15" ht="15.75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9"/>
      <c r="O42" s="91"/>
    </row>
    <row r="43" spans="1:15" ht="15.75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9"/>
      <c r="O43" s="91"/>
    </row>
    <row r="44" spans="1:15" ht="15.75">
      <c r="A44" s="100" t="s">
        <v>31</v>
      </c>
      <c r="B44" s="99">
        <f aca="true" t="shared" si="1" ref="B44:N44">SUM(B31:B42)</f>
        <v>13522150.248599999</v>
      </c>
      <c r="C44" s="99">
        <f t="shared" si="1"/>
        <v>5877219.8331</v>
      </c>
      <c r="D44" s="99">
        <f t="shared" si="1"/>
        <v>2383483.4709</v>
      </c>
      <c r="E44" s="99">
        <f t="shared" si="1"/>
        <v>18732692.195699997</v>
      </c>
      <c r="F44" s="99">
        <f t="shared" si="1"/>
        <v>13678884.1959</v>
      </c>
      <c r="G44" s="99">
        <f t="shared" si="1"/>
        <v>5952749.8127999995</v>
      </c>
      <c r="H44" s="99">
        <f>SUM(H31:H42)</f>
        <v>12053508.7806</v>
      </c>
      <c r="I44" s="99">
        <f t="shared" si="1"/>
        <v>16521026.277</v>
      </c>
      <c r="J44" s="99">
        <f>SUM(J31:J42)</f>
        <v>13556977.2135</v>
      </c>
      <c r="K44" s="99">
        <f t="shared" si="1"/>
        <v>2643815.9538</v>
      </c>
      <c r="L44" s="99">
        <f t="shared" si="1"/>
        <v>19164040.6293</v>
      </c>
      <c r="M44" s="99">
        <f t="shared" si="1"/>
        <v>833421.0107999999</v>
      </c>
      <c r="N44" s="99">
        <f t="shared" si="1"/>
        <v>124919969.622</v>
      </c>
      <c r="O44" s="91"/>
    </row>
    <row r="45" spans="1:15" ht="16.5" thickBot="1">
      <c r="A45" s="101"/>
      <c r="B45" s="99"/>
      <c r="C45" s="99"/>
      <c r="D45" s="99"/>
      <c r="E45" s="98"/>
      <c r="F45" s="98"/>
      <c r="G45" s="98"/>
      <c r="H45" s="98"/>
      <c r="I45" s="99"/>
      <c r="J45" s="99"/>
      <c r="K45" s="99"/>
      <c r="L45" s="99"/>
      <c r="M45" s="99"/>
      <c r="N45" s="99"/>
      <c r="O45" s="91"/>
    </row>
    <row r="46" spans="1:14" ht="15.75" thickTop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</row>
    <row r="47" spans="1:8" ht="15.75">
      <c r="A47" s="124" t="s">
        <v>33</v>
      </c>
      <c r="B47" s="107"/>
      <c r="C47" s="107"/>
      <c r="D47" s="107"/>
      <c r="E47" s="107"/>
      <c r="F47" s="107"/>
      <c r="G47" s="107"/>
      <c r="H47" s="107"/>
    </row>
    <row r="48" spans="1:8" ht="15.75">
      <c r="A48" s="124"/>
      <c r="B48" s="107"/>
      <c r="C48" s="107"/>
      <c r="D48" s="107"/>
      <c r="E48" s="107"/>
      <c r="F48" s="107"/>
      <c r="G48" s="107"/>
      <c r="H48" s="107"/>
    </row>
    <row r="49" ht="15.75">
      <c r="A49" s="80"/>
    </row>
  </sheetData>
  <printOptions horizontalCentered="1"/>
  <pageMargins left="0.4" right="0.3" top="0.319444444444444" bottom="0.25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7.6640625" style="127" customWidth="1"/>
    <col min="2" max="2" width="9.6640625" style="127" customWidth="1"/>
    <col min="3" max="3" width="16.6640625" style="233" customWidth="1"/>
    <col min="4" max="5" width="15.6640625" style="233" customWidth="1"/>
    <col min="6" max="6" width="9.6640625" style="127" customWidth="1"/>
    <col min="7" max="7" width="10.5546875" style="245" customWidth="1"/>
    <col min="8" max="16384" width="9.6640625" style="127" customWidth="1"/>
  </cols>
  <sheetData>
    <row r="1" spans="1:7" ht="18">
      <c r="A1" s="125" t="s">
        <v>0</v>
      </c>
      <c r="B1" s="126"/>
      <c r="C1" s="222"/>
      <c r="D1" s="222"/>
      <c r="E1" s="222"/>
      <c r="F1" s="126"/>
      <c r="G1" s="234"/>
    </row>
    <row r="2" spans="1:7" ht="18" customHeight="1">
      <c r="A2" s="128" t="s">
        <v>34</v>
      </c>
      <c r="B2" s="126"/>
      <c r="C2" s="222"/>
      <c r="D2" s="222"/>
      <c r="E2" s="222"/>
      <c r="F2" s="126"/>
      <c r="G2" s="234"/>
    </row>
    <row r="3" spans="1:7" ht="18" customHeight="1">
      <c r="A3" s="125" t="s">
        <v>73</v>
      </c>
      <c r="B3" s="126"/>
      <c r="C3" s="222"/>
      <c r="D3" s="222"/>
      <c r="E3" s="222"/>
      <c r="F3" s="126"/>
      <c r="G3" s="234"/>
    </row>
    <row r="4" spans="1:7" ht="15">
      <c r="A4" s="129" t="s">
        <v>74</v>
      </c>
      <c r="B4" s="126"/>
      <c r="C4" s="222"/>
      <c r="D4" s="222"/>
      <c r="E4" s="222"/>
      <c r="F4" s="126"/>
      <c r="G4" s="234"/>
    </row>
    <row r="5" spans="1:7" ht="15.75">
      <c r="A5" s="126"/>
      <c r="B5" s="126"/>
      <c r="C5" s="222"/>
      <c r="D5" s="222"/>
      <c r="E5" s="222"/>
      <c r="F5" s="126"/>
      <c r="G5" s="235" t="s">
        <v>1</v>
      </c>
    </row>
    <row r="6" spans="1:8" ht="16.5" thickTop="1">
      <c r="A6" s="130"/>
      <c r="B6" s="131" t="s">
        <v>2</v>
      </c>
      <c r="C6" s="223" t="s">
        <v>35</v>
      </c>
      <c r="D6" s="223" t="s">
        <v>35</v>
      </c>
      <c r="E6" s="223" t="s">
        <v>3</v>
      </c>
      <c r="F6" s="132"/>
      <c r="G6" s="236" t="s">
        <v>36</v>
      </c>
      <c r="H6" s="133"/>
    </row>
    <row r="7" spans="1:8" ht="16.5" thickBot="1">
      <c r="A7" s="134" t="s">
        <v>5</v>
      </c>
      <c r="B7" s="135" t="s">
        <v>6</v>
      </c>
      <c r="C7" s="290" t="s">
        <v>37</v>
      </c>
      <c r="D7" s="224" t="s">
        <v>38</v>
      </c>
      <c r="E7" s="224" t="s">
        <v>38</v>
      </c>
      <c r="F7" s="136" t="s">
        <v>8</v>
      </c>
      <c r="G7" s="237" t="s">
        <v>39</v>
      </c>
      <c r="H7" s="133"/>
    </row>
    <row r="8" spans="1:8" ht="16.5" thickTop="1">
      <c r="A8" s="137"/>
      <c r="B8" s="138"/>
      <c r="C8" s="225"/>
      <c r="D8" s="225"/>
      <c r="E8" s="225"/>
      <c r="F8" s="139"/>
      <c r="G8" s="238"/>
      <c r="H8" s="133"/>
    </row>
    <row r="9" spans="1:8" ht="15.75">
      <c r="A9" s="140" t="s">
        <v>40</v>
      </c>
      <c r="B9" s="141">
        <f>DATE(2011,7,1)</f>
        <v>40725</v>
      </c>
      <c r="C9" s="226">
        <v>8355879.5</v>
      </c>
      <c r="D9" s="226">
        <v>1221664.43</v>
      </c>
      <c r="E9" s="226">
        <v>1350919.59</v>
      </c>
      <c r="F9" s="142">
        <f>(+D9-E9)/E9</f>
        <v>-0.09567938828986863</v>
      </c>
      <c r="G9" s="239">
        <f>D9/C9</f>
        <v>0.14620417036890013</v>
      </c>
      <c r="H9" s="133"/>
    </row>
    <row r="10" spans="1:8" ht="15.75">
      <c r="A10" s="140"/>
      <c r="B10" s="141">
        <f>DATE(2011,8,1)</f>
        <v>40756</v>
      </c>
      <c r="C10" s="226">
        <v>7754832</v>
      </c>
      <c r="D10" s="226">
        <v>1600541.66</v>
      </c>
      <c r="E10" s="226">
        <v>1173990.59</v>
      </c>
      <c r="F10" s="142">
        <f>(+D10-E10)/E10</f>
        <v>0.363334317696703</v>
      </c>
      <c r="G10" s="239">
        <f>D10/C10</f>
        <v>0.20639282192057803</v>
      </c>
      <c r="H10" s="133"/>
    </row>
    <row r="11" spans="1:8" ht="15.75">
      <c r="A11" s="140"/>
      <c r="B11" s="141">
        <f>DATE(2011,9,1)</f>
        <v>40787</v>
      </c>
      <c r="C11" s="226">
        <v>7280036</v>
      </c>
      <c r="D11" s="226">
        <v>1437984.28</v>
      </c>
      <c r="E11" s="226">
        <v>1462339.82</v>
      </c>
      <c r="F11" s="142">
        <f>(+D11-E11)/E11</f>
        <v>-0.016655184839321435</v>
      </c>
      <c r="G11" s="239">
        <f>D11/C11</f>
        <v>0.19752433641811662</v>
      </c>
      <c r="H11" s="133"/>
    </row>
    <row r="12" spans="1:8" ht="15.75">
      <c r="A12" s="140"/>
      <c r="B12" s="141">
        <f>DATE(2011,10,1)</f>
        <v>40817</v>
      </c>
      <c r="C12" s="226">
        <v>7226703</v>
      </c>
      <c r="D12" s="226">
        <v>1361593.98</v>
      </c>
      <c r="E12" s="226">
        <v>1677279.8</v>
      </c>
      <c r="F12" s="142">
        <f>(+D12-E12)/E12</f>
        <v>-0.1882129743648019</v>
      </c>
      <c r="G12" s="239">
        <f>D12/C12</f>
        <v>0.18841150383515137</v>
      </c>
      <c r="H12" s="133"/>
    </row>
    <row r="13" spans="1:8" ht="15.75" thickBot="1">
      <c r="A13" s="143"/>
      <c r="B13" s="144"/>
      <c r="C13" s="226"/>
      <c r="D13" s="226"/>
      <c r="E13" s="226"/>
      <c r="F13" s="142"/>
      <c r="G13" s="239"/>
      <c r="H13" s="133"/>
    </row>
    <row r="14" spans="1:8" ht="17.25" thickBot="1" thickTop="1">
      <c r="A14" s="145" t="s">
        <v>14</v>
      </c>
      <c r="B14" s="146"/>
      <c r="C14" s="223">
        <f>SUM(C9:C13)</f>
        <v>30617450.5</v>
      </c>
      <c r="D14" s="223">
        <f>SUM(D9:D13)</f>
        <v>5621784.35</v>
      </c>
      <c r="E14" s="223">
        <f>SUM(E9:E13)</f>
        <v>5664529.8</v>
      </c>
      <c r="F14" s="147">
        <f>(+D14-E14)/E14</f>
        <v>-0.007546160318549332</v>
      </c>
      <c r="G14" s="236">
        <f>D14/C14</f>
        <v>0.1836137319794148</v>
      </c>
      <c r="H14" s="133"/>
    </row>
    <row r="15" spans="1:8" ht="16.5" thickTop="1">
      <c r="A15" s="148"/>
      <c r="B15" s="149"/>
      <c r="C15" s="227"/>
      <c r="D15" s="227"/>
      <c r="E15" s="227"/>
      <c r="F15" s="150"/>
      <c r="G15" s="240"/>
      <c r="H15" s="133"/>
    </row>
    <row r="16" spans="1:8" ht="15.75">
      <c r="A16" s="20" t="s">
        <v>15</v>
      </c>
      <c r="B16" s="141">
        <f>DATE(2011,7,1)</f>
        <v>40725</v>
      </c>
      <c r="C16" s="226">
        <v>2594002</v>
      </c>
      <c r="D16" s="226">
        <v>412315.5</v>
      </c>
      <c r="E16" s="226">
        <v>531577</v>
      </c>
      <c r="F16" s="142">
        <f>(+D16-E16)/E16</f>
        <v>-0.22435413872308246</v>
      </c>
      <c r="G16" s="239">
        <f>D16/C16</f>
        <v>0.15894956904427984</v>
      </c>
      <c r="H16" s="133"/>
    </row>
    <row r="17" spans="1:8" ht="15.75">
      <c r="A17" s="20"/>
      <c r="B17" s="141">
        <f>DATE(2011,8,1)</f>
        <v>40756</v>
      </c>
      <c r="C17" s="226">
        <v>2145019</v>
      </c>
      <c r="D17" s="226">
        <v>566530</v>
      </c>
      <c r="E17" s="226">
        <v>521544</v>
      </c>
      <c r="F17" s="142">
        <f>(+D17-E17)/E17</f>
        <v>0.086255426196064</v>
      </c>
      <c r="G17" s="239">
        <f>D17/C17</f>
        <v>0.2641142106433556</v>
      </c>
      <c r="H17" s="133"/>
    </row>
    <row r="18" spans="1:8" ht="15.75">
      <c r="A18" s="20"/>
      <c r="B18" s="141">
        <f>DATE(2011,9,1)</f>
        <v>40787</v>
      </c>
      <c r="C18" s="226">
        <v>2155598</v>
      </c>
      <c r="D18" s="226">
        <v>488637</v>
      </c>
      <c r="E18" s="226">
        <v>430290</v>
      </c>
      <c r="F18" s="142">
        <f>(+D18-E18)/E18</f>
        <v>0.135599247019452</v>
      </c>
      <c r="G18" s="239">
        <f>D18/C18</f>
        <v>0.2266828044932311</v>
      </c>
      <c r="H18" s="133"/>
    </row>
    <row r="19" spans="1:8" ht="15.75">
      <c r="A19" s="20"/>
      <c r="B19" s="141">
        <f>DATE(2011,10,1)</f>
        <v>40817</v>
      </c>
      <c r="C19" s="226">
        <v>2123562</v>
      </c>
      <c r="D19" s="226">
        <v>320525</v>
      </c>
      <c r="E19" s="226">
        <v>463252.5</v>
      </c>
      <c r="F19" s="142">
        <f>(+D19-E19)/E19</f>
        <v>-0.3080987150635992</v>
      </c>
      <c r="G19" s="239">
        <f>D19/C19</f>
        <v>0.15093743436735071</v>
      </c>
      <c r="H19" s="133"/>
    </row>
    <row r="20" spans="1:8" ht="15.75" thickBot="1">
      <c r="A20" s="143"/>
      <c r="B20" s="141"/>
      <c r="C20" s="226"/>
      <c r="D20" s="226"/>
      <c r="E20" s="226"/>
      <c r="F20" s="142"/>
      <c r="G20" s="239"/>
      <c r="H20" s="133"/>
    </row>
    <row r="21" spans="1:8" ht="17.25" thickBot="1" thickTop="1">
      <c r="A21" s="145" t="s">
        <v>14</v>
      </c>
      <c r="B21" s="146"/>
      <c r="C21" s="223">
        <f>SUM(C16:C20)</f>
        <v>9018181</v>
      </c>
      <c r="D21" s="223">
        <f>SUM(D16:D20)</f>
        <v>1788007.5</v>
      </c>
      <c r="E21" s="223">
        <f>SUM(E16:E20)</f>
        <v>1946663.5</v>
      </c>
      <c r="F21" s="147">
        <f>(+D21-E21)/E21</f>
        <v>-0.08150150244251253</v>
      </c>
      <c r="G21" s="236">
        <f>D21/C21</f>
        <v>0.19826697867341542</v>
      </c>
      <c r="H21" s="133"/>
    </row>
    <row r="22" spans="1:8" ht="16.5" thickTop="1">
      <c r="A22" s="281"/>
      <c r="B22" s="160"/>
      <c r="C22" s="230"/>
      <c r="D22" s="230"/>
      <c r="E22" s="230"/>
      <c r="F22" s="161"/>
      <c r="G22" s="243"/>
      <c r="H22" s="133"/>
    </row>
    <row r="23" spans="1:8" ht="15.75">
      <c r="A23" s="20" t="s">
        <v>64</v>
      </c>
      <c r="B23" s="141">
        <f>DATE(2011,7,1)</f>
        <v>40725</v>
      </c>
      <c r="C23" s="226">
        <v>1178047</v>
      </c>
      <c r="D23" s="226">
        <v>335184</v>
      </c>
      <c r="E23" s="226">
        <v>339603</v>
      </c>
      <c r="F23" s="142">
        <f>(+D23-E23)/E23</f>
        <v>-0.013012252541938675</v>
      </c>
      <c r="G23" s="239">
        <f>D23/C23</f>
        <v>0.2845251505245546</v>
      </c>
      <c r="H23" s="133"/>
    </row>
    <row r="24" spans="1:8" ht="15.75">
      <c r="A24" s="20"/>
      <c r="B24" s="141">
        <f>DATE(2011,8,1)</f>
        <v>40756</v>
      </c>
      <c r="C24" s="226">
        <v>1115399</v>
      </c>
      <c r="D24" s="226">
        <v>321792</v>
      </c>
      <c r="E24" s="226">
        <v>271498</v>
      </c>
      <c r="F24" s="142">
        <f>(+D24-E24)/E24</f>
        <v>0.18524630015690724</v>
      </c>
      <c r="G24" s="239">
        <f>D24/C24</f>
        <v>0.28849945176569103</v>
      </c>
      <c r="H24" s="133"/>
    </row>
    <row r="25" spans="1:8" ht="15.75">
      <c r="A25" s="20"/>
      <c r="B25" s="141">
        <f>DATE(2011,9,1)</f>
        <v>40787</v>
      </c>
      <c r="C25" s="226">
        <v>1188336</v>
      </c>
      <c r="D25" s="226">
        <v>243135</v>
      </c>
      <c r="E25" s="226">
        <v>283508.5</v>
      </c>
      <c r="F25" s="142">
        <f>(+D25-E25)/E25</f>
        <v>-0.1424066650558978</v>
      </c>
      <c r="G25" s="239">
        <f>D25/C25</f>
        <v>0.20460122389627175</v>
      </c>
      <c r="H25" s="133"/>
    </row>
    <row r="26" spans="1:8" ht="15.75">
      <c r="A26" s="20"/>
      <c r="B26" s="141">
        <f>DATE(2011,10,1)</f>
        <v>40817</v>
      </c>
      <c r="C26" s="226">
        <v>1068605</v>
      </c>
      <c r="D26" s="226">
        <v>311428.5</v>
      </c>
      <c r="E26" s="226">
        <v>315362</v>
      </c>
      <c r="F26" s="142">
        <f>(+D26-E26)/E26</f>
        <v>-0.012472967573772363</v>
      </c>
      <c r="G26" s="239">
        <f>D26/C26</f>
        <v>0.29143462738804327</v>
      </c>
      <c r="H26" s="133"/>
    </row>
    <row r="27" spans="1:8" ht="15.75" thickBot="1">
      <c r="A27" s="143"/>
      <c r="B27" s="141"/>
      <c r="C27" s="226"/>
      <c r="D27" s="226"/>
      <c r="E27" s="226"/>
      <c r="F27" s="142"/>
      <c r="G27" s="239"/>
      <c r="H27" s="133"/>
    </row>
    <row r="28" spans="1:8" ht="17.25" thickBot="1" thickTop="1">
      <c r="A28" s="151" t="s">
        <v>14</v>
      </c>
      <c r="B28" s="152"/>
      <c r="C28" s="228">
        <f>SUM(C23:C27)</f>
        <v>4550387</v>
      </c>
      <c r="D28" s="228">
        <f>SUM(D23:D27)</f>
        <v>1211539.5</v>
      </c>
      <c r="E28" s="228">
        <f>SUM(E23:E27)</f>
        <v>1209971.5</v>
      </c>
      <c r="F28" s="153">
        <f>(+D28-E28)/E28</f>
        <v>0.0012958982918192701</v>
      </c>
      <c r="G28" s="241">
        <f>D28/C28</f>
        <v>0.2662497717227128</v>
      </c>
      <c r="H28" s="133"/>
    </row>
    <row r="29" spans="1:8" ht="15.75" thickTop="1">
      <c r="A29" s="154"/>
      <c r="B29" s="155"/>
      <c r="C29" s="229"/>
      <c r="D29" s="229"/>
      <c r="E29" s="229"/>
      <c r="F29" s="156"/>
      <c r="G29" s="242"/>
      <c r="H29" s="133"/>
    </row>
    <row r="30" spans="1:8" ht="15.75">
      <c r="A30" s="157" t="s">
        <v>41</v>
      </c>
      <c r="B30" s="141">
        <f>DATE(2011,7,1)</f>
        <v>40725</v>
      </c>
      <c r="C30" s="226">
        <v>13899072</v>
      </c>
      <c r="D30" s="226">
        <v>2744734.3</v>
      </c>
      <c r="E30" s="226">
        <v>3149418.1</v>
      </c>
      <c r="F30" s="142">
        <f>(+D30-E30)/E30</f>
        <v>-0.12849478448098087</v>
      </c>
      <c r="G30" s="239">
        <f>D30/C30</f>
        <v>0.19747608329534516</v>
      </c>
      <c r="H30" s="133"/>
    </row>
    <row r="31" spans="1:8" ht="15.75">
      <c r="A31" s="157"/>
      <c r="B31" s="141">
        <f>DATE(2011,8,1)</f>
        <v>40756</v>
      </c>
      <c r="C31" s="226">
        <v>12859601</v>
      </c>
      <c r="D31" s="226">
        <v>2467219.24</v>
      </c>
      <c r="E31" s="226">
        <v>2619140</v>
      </c>
      <c r="F31" s="142">
        <f>(+D31-E31)/E31</f>
        <v>-0.05800406240216246</v>
      </c>
      <c r="G31" s="239">
        <f>D31/C31</f>
        <v>0.19185814863151665</v>
      </c>
      <c r="H31" s="133"/>
    </row>
    <row r="32" spans="1:8" ht="15.75">
      <c r="A32" s="157"/>
      <c r="B32" s="141">
        <f>DATE(2011,9,1)</f>
        <v>40787</v>
      </c>
      <c r="C32" s="226">
        <v>12906833</v>
      </c>
      <c r="D32" s="226">
        <v>2629389</v>
      </c>
      <c r="E32" s="226">
        <v>2557226.76</v>
      </c>
      <c r="F32" s="142">
        <f>(+D32-E32)/E32</f>
        <v>0.028218944494386656</v>
      </c>
      <c r="G32" s="239">
        <f>D32/C32</f>
        <v>0.20372069585156946</v>
      </c>
      <c r="H32" s="133"/>
    </row>
    <row r="33" spans="1:8" ht="15.75">
      <c r="A33" s="157"/>
      <c r="B33" s="141">
        <f>DATE(2011,10,1)</f>
        <v>40817</v>
      </c>
      <c r="C33" s="226">
        <v>12893851</v>
      </c>
      <c r="D33" s="226">
        <v>2901999.71</v>
      </c>
      <c r="E33" s="226">
        <v>2716697</v>
      </c>
      <c r="F33" s="142">
        <f>(+D33-E33)/E33</f>
        <v>0.06820882490759918</v>
      </c>
      <c r="G33" s="239">
        <f>D33/C33</f>
        <v>0.22506850048135346</v>
      </c>
      <c r="H33" s="133"/>
    </row>
    <row r="34" spans="1:8" ht="15" customHeight="1" thickBot="1">
      <c r="A34" s="143"/>
      <c r="B34" s="144"/>
      <c r="C34" s="226"/>
      <c r="D34" s="226"/>
      <c r="E34" s="226"/>
      <c r="F34" s="142"/>
      <c r="G34" s="239"/>
      <c r="H34" s="133"/>
    </row>
    <row r="35" spans="1:8" ht="15" customHeight="1" thickBot="1" thickTop="1">
      <c r="A35" s="151" t="s">
        <v>14</v>
      </c>
      <c r="B35" s="152"/>
      <c r="C35" s="228">
        <f>SUM(C30:C34)</f>
        <v>52559357</v>
      </c>
      <c r="D35" s="228">
        <f>SUM(D30:D34)</f>
        <v>10743342.25</v>
      </c>
      <c r="E35" s="228">
        <f>SUM(E30:E34)</f>
        <v>11042481.86</v>
      </c>
      <c r="F35" s="153">
        <f>(+D35-E35)/E35</f>
        <v>-0.027089889192718077</v>
      </c>
      <c r="G35" s="241">
        <f>D35/C35</f>
        <v>0.20440398937909382</v>
      </c>
      <c r="H35" s="133"/>
    </row>
    <row r="36" spans="1:8" ht="15" customHeight="1" thickTop="1">
      <c r="A36" s="154"/>
      <c r="B36" s="155"/>
      <c r="C36" s="229"/>
      <c r="D36" s="229"/>
      <c r="E36" s="229"/>
      <c r="F36" s="156"/>
      <c r="G36" s="242"/>
      <c r="H36" s="133"/>
    </row>
    <row r="37" spans="1:8" ht="15" customHeight="1">
      <c r="A37" s="140" t="s">
        <v>42</v>
      </c>
      <c r="B37" s="141">
        <f>DATE(2011,7,1)</f>
        <v>40725</v>
      </c>
      <c r="C37" s="226">
        <v>11664213.61</v>
      </c>
      <c r="D37" s="226">
        <v>2657716.61</v>
      </c>
      <c r="E37" s="226">
        <v>2411904.51</v>
      </c>
      <c r="F37" s="142">
        <f>(+D37-E37)/E37</f>
        <v>0.10191618241138416</v>
      </c>
      <c r="G37" s="239">
        <f>D37/C37</f>
        <v>0.2278521895142145</v>
      </c>
      <c r="H37" s="133"/>
    </row>
    <row r="38" spans="1:8" ht="15" customHeight="1">
      <c r="A38" s="140"/>
      <c r="B38" s="141">
        <f>DATE(2011,8,1)</f>
        <v>40756</v>
      </c>
      <c r="C38" s="226">
        <v>11298115.25</v>
      </c>
      <c r="D38" s="226">
        <v>2379235.75</v>
      </c>
      <c r="E38" s="226">
        <v>2386625</v>
      </c>
      <c r="F38" s="142">
        <f>(+D38-E38)/E38</f>
        <v>-0.003096108521447651</v>
      </c>
      <c r="G38" s="239">
        <f>D38/C38</f>
        <v>0.2105869605109578</v>
      </c>
      <c r="H38" s="133"/>
    </row>
    <row r="39" spans="1:8" ht="15" customHeight="1">
      <c r="A39" s="140"/>
      <c r="B39" s="141">
        <f>DATE(2011,9,1)</f>
        <v>40787</v>
      </c>
      <c r="C39" s="226">
        <v>10420160.6</v>
      </c>
      <c r="D39" s="226">
        <v>2499281.1</v>
      </c>
      <c r="E39" s="226">
        <v>2229326</v>
      </c>
      <c r="F39" s="142">
        <f>(+D39-E39)/E39</f>
        <v>0.1210926979723917</v>
      </c>
      <c r="G39" s="239">
        <f>D39/C39</f>
        <v>0.23985053550902086</v>
      </c>
      <c r="H39" s="133"/>
    </row>
    <row r="40" spans="1:8" ht="15" customHeight="1">
      <c r="A40" s="140"/>
      <c r="B40" s="141">
        <f>DATE(2011,10,1)</f>
        <v>40817</v>
      </c>
      <c r="C40" s="226">
        <v>11083598.51</v>
      </c>
      <c r="D40" s="226">
        <v>2129500.01</v>
      </c>
      <c r="E40" s="226">
        <v>2305918</v>
      </c>
      <c r="F40" s="142">
        <f>(+D40-E40)/E40</f>
        <v>-0.07650661905583817</v>
      </c>
      <c r="G40" s="239">
        <f>D40/C40</f>
        <v>0.19213074238287253</v>
      </c>
      <c r="H40" s="133"/>
    </row>
    <row r="41" spans="1:8" ht="15.75" thickBot="1">
      <c r="A41" s="143"/>
      <c r="B41" s="141"/>
      <c r="C41" s="226"/>
      <c r="D41" s="226"/>
      <c r="E41" s="226"/>
      <c r="F41" s="142"/>
      <c r="G41" s="239"/>
      <c r="H41" s="133"/>
    </row>
    <row r="42" spans="1:8" ht="17.25" thickBot="1" thickTop="1">
      <c r="A42" s="151" t="s">
        <v>14</v>
      </c>
      <c r="B42" s="152"/>
      <c r="C42" s="231">
        <f>SUM(C37:C41)</f>
        <v>44466087.97</v>
      </c>
      <c r="D42" s="289">
        <f>SUM(D37:D41)</f>
        <v>9665733.469999999</v>
      </c>
      <c r="E42" s="228">
        <f>SUM(E37:E41)</f>
        <v>9333773.51</v>
      </c>
      <c r="F42" s="296">
        <f>(+D42-E42)/E42</f>
        <v>0.0355654612407666</v>
      </c>
      <c r="G42" s="295">
        <f>D42/C42</f>
        <v>0.21737314684667547</v>
      </c>
      <c r="H42" s="133"/>
    </row>
    <row r="43" spans="1:8" ht="16.5" thickTop="1">
      <c r="A43" s="158"/>
      <c r="B43" s="155"/>
      <c r="C43" s="229"/>
      <c r="D43" s="229"/>
      <c r="E43" s="229"/>
      <c r="F43" s="156"/>
      <c r="G43" s="242"/>
      <c r="H43" s="133"/>
    </row>
    <row r="44" spans="1:8" ht="15.75">
      <c r="A44" s="140" t="s">
        <v>18</v>
      </c>
      <c r="B44" s="141">
        <f>DATE(2011,7,1)</f>
        <v>40725</v>
      </c>
      <c r="C44" s="226">
        <v>2449883</v>
      </c>
      <c r="D44" s="226">
        <v>353440</v>
      </c>
      <c r="E44" s="226">
        <v>396647.5</v>
      </c>
      <c r="F44" s="142">
        <f>(+D44-E44)/E44</f>
        <v>-0.10893173409639541</v>
      </c>
      <c r="G44" s="239">
        <f>D44/C44</f>
        <v>0.14426811402830259</v>
      </c>
      <c r="H44" s="133"/>
    </row>
    <row r="45" spans="1:8" ht="15.75">
      <c r="A45" s="140"/>
      <c r="B45" s="141">
        <f>DATE(2011,8,1)</f>
        <v>40756</v>
      </c>
      <c r="C45" s="226">
        <v>2421529.5</v>
      </c>
      <c r="D45" s="226">
        <v>555919</v>
      </c>
      <c r="E45" s="226">
        <v>552519.5</v>
      </c>
      <c r="F45" s="142">
        <f>(+D45-E45)/E45</f>
        <v>0.006152724021505123</v>
      </c>
      <c r="G45" s="239">
        <f>D45/C45</f>
        <v>0.22957349889811376</v>
      </c>
      <c r="H45" s="133"/>
    </row>
    <row r="46" spans="1:8" ht="15.75">
      <c r="A46" s="140"/>
      <c r="B46" s="141">
        <f>DATE(2011,9,1)</f>
        <v>40787</v>
      </c>
      <c r="C46" s="226">
        <v>2519597.7</v>
      </c>
      <c r="D46" s="226">
        <v>375473.7</v>
      </c>
      <c r="E46" s="226">
        <v>434109.5</v>
      </c>
      <c r="F46" s="142">
        <f>(+D46-E46)/E46</f>
        <v>-0.1350714508666592</v>
      </c>
      <c r="G46" s="239">
        <f>D46/C46</f>
        <v>0.14902129018454016</v>
      </c>
      <c r="H46" s="133"/>
    </row>
    <row r="47" spans="1:8" ht="15.75">
      <c r="A47" s="140"/>
      <c r="B47" s="141">
        <f>DATE(2011,10,1)</f>
        <v>40817</v>
      </c>
      <c r="C47" s="226">
        <v>2532054.5</v>
      </c>
      <c r="D47" s="226">
        <v>479533</v>
      </c>
      <c r="E47" s="226">
        <v>429628.5</v>
      </c>
      <c r="F47" s="142">
        <f>(+D47-E47)/E47</f>
        <v>0.11615733127574171</v>
      </c>
      <c r="G47" s="239">
        <f>D47/C47</f>
        <v>0.1893849441234381</v>
      </c>
      <c r="H47" s="133"/>
    </row>
    <row r="48" spans="1:8" ht="16.5" thickBot="1">
      <c r="A48" s="140"/>
      <c r="B48" s="141"/>
      <c r="C48" s="226"/>
      <c r="D48" s="226"/>
      <c r="E48" s="226"/>
      <c r="F48" s="142"/>
      <c r="G48" s="239"/>
      <c r="H48" s="133"/>
    </row>
    <row r="49" spans="1:8" ht="17.25" thickBot="1" thickTop="1">
      <c r="A49" s="151" t="s">
        <v>14</v>
      </c>
      <c r="B49" s="152"/>
      <c r="C49" s="231">
        <f>SUM(C44:C48)</f>
        <v>9923064.7</v>
      </c>
      <c r="D49" s="289">
        <f>SUM(D44:D48)</f>
        <v>1764365.7</v>
      </c>
      <c r="E49" s="231">
        <f>SUM(E44:E48)</f>
        <v>1812905</v>
      </c>
      <c r="F49" s="297">
        <f>(+D49-E49)/E49</f>
        <v>-0.026774320772461904</v>
      </c>
      <c r="G49" s="295">
        <f>D49/C49</f>
        <v>0.17780451436540567</v>
      </c>
      <c r="H49" s="133"/>
    </row>
    <row r="50" spans="1:8" ht="16.5" thickTop="1">
      <c r="A50" s="140"/>
      <c r="B50" s="149"/>
      <c r="C50" s="227"/>
      <c r="D50" s="227"/>
      <c r="E50" s="227"/>
      <c r="F50" s="150"/>
      <c r="G50" s="240"/>
      <c r="H50" s="133"/>
    </row>
    <row r="51" spans="1:8" ht="15.75">
      <c r="A51" s="140" t="s">
        <v>58</v>
      </c>
      <c r="B51" s="141">
        <f>DATE(2011,7,1)</f>
        <v>40725</v>
      </c>
      <c r="C51" s="226">
        <v>12741414.87</v>
      </c>
      <c r="D51" s="226">
        <v>2899570.93</v>
      </c>
      <c r="E51" s="226">
        <v>2451762.21</v>
      </c>
      <c r="F51" s="142">
        <f>(+D51-E51)/E51</f>
        <v>0.18264769649092527</v>
      </c>
      <c r="G51" s="239">
        <f>D51/C51</f>
        <v>0.22757056100787654</v>
      </c>
      <c r="H51" s="133"/>
    </row>
    <row r="52" spans="1:8" ht="15.75">
      <c r="A52" s="140"/>
      <c r="B52" s="141">
        <f>DATE(2011,8,1)</f>
        <v>40756</v>
      </c>
      <c r="C52" s="226">
        <v>11791433</v>
      </c>
      <c r="D52" s="226">
        <v>2205264.12</v>
      </c>
      <c r="E52" s="226">
        <v>2860837.8</v>
      </c>
      <c r="F52" s="142">
        <f>(+D52-E52)/E52</f>
        <v>-0.2291544386053623</v>
      </c>
      <c r="G52" s="239">
        <f>D52/C52</f>
        <v>0.18702257138720968</v>
      </c>
      <c r="H52" s="133"/>
    </row>
    <row r="53" spans="1:8" ht="15.75">
      <c r="A53" s="140"/>
      <c r="B53" s="141">
        <f>DATE(2011,9,1)</f>
        <v>40787</v>
      </c>
      <c r="C53" s="226">
        <v>12493184</v>
      </c>
      <c r="D53" s="226">
        <v>2785236.92</v>
      </c>
      <c r="E53" s="226">
        <v>2176427.11</v>
      </c>
      <c r="F53" s="142">
        <f>(+D53-E53)/E53</f>
        <v>0.2797290142190887</v>
      </c>
      <c r="G53" s="239">
        <f>D53/C53</f>
        <v>0.22294051860598546</v>
      </c>
      <c r="H53" s="133"/>
    </row>
    <row r="54" spans="1:8" ht="15.75">
      <c r="A54" s="140"/>
      <c r="B54" s="141">
        <f>DATE(2011,10,1)</f>
        <v>40817</v>
      </c>
      <c r="C54" s="226">
        <v>13631348</v>
      </c>
      <c r="D54" s="226">
        <v>2987060.01</v>
      </c>
      <c r="E54" s="226">
        <v>3297781</v>
      </c>
      <c r="F54" s="142">
        <f>(+D54-E54)/E54</f>
        <v>-0.09422123239839159</v>
      </c>
      <c r="G54" s="239">
        <f>D54/C54</f>
        <v>0.21913166694885933</v>
      </c>
      <c r="H54" s="133"/>
    </row>
    <row r="55" spans="1:8" ht="16.5" thickBot="1">
      <c r="A55" s="140"/>
      <c r="B55" s="141"/>
      <c r="C55" s="226"/>
      <c r="D55" s="226"/>
      <c r="E55" s="226"/>
      <c r="F55" s="142"/>
      <c r="G55" s="239"/>
      <c r="H55" s="133"/>
    </row>
    <row r="56" spans="1:8" ht="17.25" thickBot="1" thickTop="1">
      <c r="A56" s="151" t="s">
        <v>14</v>
      </c>
      <c r="B56" s="152"/>
      <c r="C56" s="228">
        <f>SUM(C51:C55)</f>
        <v>50657379.87</v>
      </c>
      <c r="D56" s="228">
        <f>SUM(D51:D55)</f>
        <v>10877131.98</v>
      </c>
      <c r="E56" s="228">
        <f>SUM(E51:E55)</f>
        <v>10786808.12</v>
      </c>
      <c r="F56" s="153">
        <f>(+D56-E56)/E56</f>
        <v>0.00837354841165018</v>
      </c>
      <c r="G56" s="241">
        <f>D56/C56</f>
        <v>0.21471959283945494</v>
      </c>
      <c r="H56" s="133"/>
    </row>
    <row r="57" spans="1:8" ht="16.5" thickTop="1">
      <c r="A57" s="148"/>
      <c r="B57" s="149"/>
      <c r="C57" s="227"/>
      <c r="D57" s="227"/>
      <c r="E57" s="227"/>
      <c r="F57" s="150"/>
      <c r="G57" s="240"/>
      <c r="H57" s="133"/>
    </row>
    <row r="58" spans="1:8" ht="15.75">
      <c r="A58" s="140" t="s">
        <v>19</v>
      </c>
      <c r="B58" s="141">
        <f>DATE(2011,7,1)</f>
        <v>40725</v>
      </c>
      <c r="C58" s="226">
        <v>11761211</v>
      </c>
      <c r="D58" s="226">
        <v>2495170</v>
      </c>
      <c r="E58" s="226">
        <v>2799211.5</v>
      </c>
      <c r="F58" s="142">
        <f>(+D58-E58)/E58</f>
        <v>-0.10861683727721182</v>
      </c>
      <c r="G58" s="239">
        <f>D58/C58</f>
        <v>0.21215247307441384</v>
      </c>
      <c r="H58" s="133"/>
    </row>
    <row r="59" spans="1:8" ht="15.75">
      <c r="A59" s="140"/>
      <c r="B59" s="141">
        <f>DATE(2011,8,1)</f>
        <v>40756</v>
      </c>
      <c r="C59" s="226">
        <v>10570665</v>
      </c>
      <c r="D59" s="226">
        <v>1807211.5</v>
      </c>
      <c r="E59" s="226">
        <v>2069652.5</v>
      </c>
      <c r="F59" s="142">
        <f>(+D59-E59)/E59</f>
        <v>-0.12680437899599087</v>
      </c>
      <c r="G59" s="239">
        <f>D59/C59</f>
        <v>0.17096478792961464</v>
      </c>
      <c r="H59" s="133"/>
    </row>
    <row r="60" spans="1:8" ht="15.75">
      <c r="A60" s="140"/>
      <c r="B60" s="141">
        <f>DATE(2011,9,1)</f>
        <v>40787</v>
      </c>
      <c r="C60" s="226">
        <v>11617913</v>
      </c>
      <c r="D60" s="226">
        <v>1763711</v>
      </c>
      <c r="E60" s="226">
        <v>2150289.5</v>
      </c>
      <c r="F60" s="142">
        <f>(+D60-E60)/E60</f>
        <v>-0.17977974593653553</v>
      </c>
      <c r="G60" s="239">
        <f>D60/C60</f>
        <v>0.15180962363894446</v>
      </c>
      <c r="H60" s="133"/>
    </row>
    <row r="61" spans="1:8" ht="15.75">
      <c r="A61" s="140"/>
      <c r="B61" s="141">
        <f>DATE(2011,10,1)</f>
        <v>40817</v>
      </c>
      <c r="C61" s="226">
        <v>11558741.5</v>
      </c>
      <c r="D61" s="226">
        <v>2316654.5</v>
      </c>
      <c r="E61" s="226">
        <v>2098495</v>
      </c>
      <c r="F61" s="142">
        <f>(+D61-E61)/E61</f>
        <v>0.10395998084341397</v>
      </c>
      <c r="G61" s="239">
        <f>D61/C61</f>
        <v>0.20042445797407962</v>
      </c>
      <c r="H61" s="133"/>
    </row>
    <row r="62" spans="1:8" ht="16.5" thickBot="1">
      <c r="A62" s="140"/>
      <c r="B62" s="141"/>
      <c r="C62" s="226"/>
      <c r="D62" s="226"/>
      <c r="E62" s="226"/>
      <c r="F62" s="142"/>
      <c r="G62" s="239"/>
      <c r="H62" s="133"/>
    </row>
    <row r="63" spans="1:8" ht="17.25" thickBot="1" thickTop="1">
      <c r="A63" s="151" t="s">
        <v>14</v>
      </c>
      <c r="B63" s="152"/>
      <c r="C63" s="228">
        <f>SUM(C58:C62)</f>
        <v>45508530.5</v>
      </c>
      <c r="D63" s="228">
        <f>SUM(D58:D62)</f>
        <v>8382747</v>
      </c>
      <c r="E63" s="228">
        <f>SUM(E58:E62)</f>
        <v>9117648.5</v>
      </c>
      <c r="F63" s="153">
        <f>(+D63-E63)/E63</f>
        <v>-0.08060208725967008</v>
      </c>
      <c r="G63" s="241">
        <f>D63/C63</f>
        <v>0.18420166302667146</v>
      </c>
      <c r="H63" s="133"/>
    </row>
    <row r="64" spans="1:8" ht="16.5" thickTop="1">
      <c r="A64" s="148"/>
      <c r="B64" s="149"/>
      <c r="C64" s="227"/>
      <c r="D64" s="227"/>
      <c r="E64" s="227"/>
      <c r="F64" s="150"/>
      <c r="G64" s="240"/>
      <c r="H64" s="133"/>
    </row>
    <row r="65" spans="1:8" ht="15.75">
      <c r="A65" s="140" t="s">
        <v>63</v>
      </c>
      <c r="B65" s="141">
        <f>DATE(2011,7,1)</f>
        <v>40725</v>
      </c>
      <c r="C65" s="226">
        <v>9212103</v>
      </c>
      <c r="D65" s="226">
        <v>1826326.5</v>
      </c>
      <c r="E65" s="226">
        <v>1679098.5</v>
      </c>
      <c r="F65" s="142">
        <f>(+D65-E65)/E65</f>
        <v>0.08768276548397845</v>
      </c>
      <c r="G65" s="239">
        <f>D65/C65</f>
        <v>0.19825293963821292</v>
      </c>
      <c r="H65" s="133"/>
    </row>
    <row r="66" spans="1:8" ht="15.75">
      <c r="A66" s="140"/>
      <c r="B66" s="141">
        <f>DATE(2011,8,1)</f>
        <v>40756</v>
      </c>
      <c r="C66" s="226">
        <v>8368727</v>
      </c>
      <c r="D66" s="226">
        <v>1812724.5</v>
      </c>
      <c r="E66" s="226">
        <v>1753798.5</v>
      </c>
      <c r="F66" s="142">
        <f>(+D66-E66)/E66</f>
        <v>0.03359907081685838</v>
      </c>
      <c r="G66" s="239">
        <f>D66/C66</f>
        <v>0.2166069582625888</v>
      </c>
      <c r="H66" s="133"/>
    </row>
    <row r="67" spans="1:8" ht="15.75">
      <c r="A67" s="140"/>
      <c r="B67" s="141">
        <f>DATE(2011,9,1)</f>
        <v>40787</v>
      </c>
      <c r="C67" s="226">
        <v>8304512</v>
      </c>
      <c r="D67" s="226">
        <v>1468794</v>
      </c>
      <c r="E67" s="226">
        <v>1465247</v>
      </c>
      <c r="F67" s="142">
        <f>(+D67-E67)/E67</f>
        <v>0.002420752269071358</v>
      </c>
      <c r="G67" s="239">
        <f>D67/C67</f>
        <v>0.176866985079918</v>
      </c>
      <c r="H67" s="133"/>
    </row>
    <row r="68" spans="1:8" ht="15.75">
      <c r="A68" s="140"/>
      <c r="B68" s="141">
        <f>DATE(2011,10,1)</f>
        <v>40817</v>
      </c>
      <c r="C68" s="226">
        <v>8154900</v>
      </c>
      <c r="D68" s="226">
        <v>154130.5</v>
      </c>
      <c r="E68" s="226">
        <v>1608544</v>
      </c>
      <c r="F68" s="142">
        <f>(+D68-E68)/E68</f>
        <v>-0.9041801156822568</v>
      </c>
      <c r="G68" s="239">
        <f>D68/C68</f>
        <v>0.018900354388159266</v>
      </c>
      <c r="H68" s="133"/>
    </row>
    <row r="69" spans="1:8" ht="15.75" thickBot="1">
      <c r="A69" s="143"/>
      <c r="B69" s="141"/>
      <c r="C69" s="226"/>
      <c r="D69" s="226"/>
      <c r="E69" s="226"/>
      <c r="F69" s="142"/>
      <c r="G69" s="239"/>
      <c r="H69" s="133"/>
    </row>
    <row r="70" spans="1:8" ht="17.25" thickBot="1" thickTop="1">
      <c r="A70" s="151" t="s">
        <v>14</v>
      </c>
      <c r="B70" s="152"/>
      <c r="C70" s="231">
        <f>SUM(C65:C69)</f>
        <v>34040242</v>
      </c>
      <c r="D70" s="231">
        <f>SUM(D65:D69)</f>
        <v>5261975.5</v>
      </c>
      <c r="E70" s="231">
        <f>SUM(E65:E69)</f>
        <v>6506688</v>
      </c>
      <c r="F70" s="153">
        <f>(+D70-E70)/E70</f>
        <v>-0.19129740045934276</v>
      </c>
      <c r="G70" s="295">
        <f>D70/C70</f>
        <v>0.1545810250115143</v>
      </c>
      <c r="H70" s="133"/>
    </row>
    <row r="71" spans="1:8" ht="16.5" thickTop="1">
      <c r="A71" s="159"/>
      <c r="B71" s="160"/>
      <c r="C71" s="230"/>
      <c r="D71" s="230"/>
      <c r="E71" s="230"/>
      <c r="F71" s="161"/>
      <c r="G71" s="243"/>
      <c r="H71" s="133"/>
    </row>
    <row r="72" spans="1:8" ht="15.75">
      <c r="A72" s="140" t="s">
        <v>65</v>
      </c>
      <c r="B72" s="141">
        <f>DATE(2011,7,1)</f>
        <v>40725</v>
      </c>
      <c r="C72" s="226">
        <v>921797</v>
      </c>
      <c r="D72" s="226">
        <v>137840.5</v>
      </c>
      <c r="E72" s="226">
        <v>202334.5</v>
      </c>
      <c r="F72" s="142">
        <f>(+D72-E72)/E72</f>
        <v>-0.31874939765586197</v>
      </c>
      <c r="G72" s="239">
        <f>D72/C72</f>
        <v>0.14953455044874306</v>
      </c>
      <c r="H72" s="133"/>
    </row>
    <row r="73" spans="1:8" ht="15.75">
      <c r="A73" s="140"/>
      <c r="B73" s="141">
        <f>DATE(2011,8,1)</f>
        <v>40756</v>
      </c>
      <c r="C73" s="226">
        <v>865128</v>
      </c>
      <c r="D73" s="226">
        <v>161114.5</v>
      </c>
      <c r="E73" s="226">
        <v>187150.5</v>
      </c>
      <c r="F73" s="142">
        <f>(+D73-E73)/E73</f>
        <v>-0.13911798258620736</v>
      </c>
      <c r="G73" s="239">
        <f>D73/C73</f>
        <v>0.18623197954522336</v>
      </c>
      <c r="H73" s="133"/>
    </row>
    <row r="74" spans="1:8" ht="15.75">
      <c r="A74" s="140"/>
      <c r="B74" s="141">
        <f>DATE(2011,9,1)</f>
        <v>40787</v>
      </c>
      <c r="C74" s="226">
        <v>873126</v>
      </c>
      <c r="D74" s="226">
        <v>229181</v>
      </c>
      <c r="E74" s="226">
        <v>224483</v>
      </c>
      <c r="F74" s="142">
        <f>(+D74-E74)/E74</f>
        <v>0.02092808809575781</v>
      </c>
      <c r="G74" s="239">
        <f>D74/C74</f>
        <v>0.26248330710573275</v>
      </c>
      <c r="H74" s="133"/>
    </row>
    <row r="75" spans="1:8" ht="15.75">
      <c r="A75" s="140"/>
      <c r="B75" s="141">
        <f>DATE(2011,10,1)</f>
        <v>40817</v>
      </c>
      <c r="C75" s="226">
        <v>848537</v>
      </c>
      <c r="D75" s="226">
        <v>180880.5</v>
      </c>
      <c r="E75" s="226">
        <v>223258.5</v>
      </c>
      <c r="F75" s="142">
        <f>(+D75-E75)/E75</f>
        <v>-0.18981584127815962</v>
      </c>
      <c r="G75" s="239">
        <f>D75/C75</f>
        <v>0.21316748709838226</v>
      </c>
      <c r="H75" s="133"/>
    </row>
    <row r="76" spans="1:8" ht="15.75" thickBot="1">
      <c r="A76" s="143"/>
      <c r="B76" s="144"/>
      <c r="C76" s="226"/>
      <c r="D76" s="226"/>
      <c r="E76" s="226"/>
      <c r="F76" s="142"/>
      <c r="G76" s="239"/>
      <c r="H76" s="133"/>
    </row>
    <row r="77" spans="1:8" ht="17.25" thickBot="1" thickTop="1">
      <c r="A77" s="162" t="s">
        <v>14</v>
      </c>
      <c r="B77" s="163"/>
      <c r="C77" s="231">
        <f>SUM(C72:C76)</f>
        <v>3508588</v>
      </c>
      <c r="D77" s="231">
        <f>SUM(D72:D76)</f>
        <v>709016.5</v>
      </c>
      <c r="E77" s="231">
        <f>SUM(E72:E76)</f>
        <v>837226.5</v>
      </c>
      <c r="F77" s="153">
        <f>(+D77-E77)/E77</f>
        <v>-0.15313657654171242</v>
      </c>
      <c r="G77" s="241">
        <f>D77/C77</f>
        <v>0.20208029554909268</v>
      </c>
      <c r="H77" s="133"/>
    </row>
    <row r="78" spans="1:8" ht="16.5" thickTop="1">
      <c r="A78" s="158"/>
      <c r="B78" s="155"/>
      <c r="C78" s="229"/>
      <c r="D78" s="229"/>
      <c r="E78" s="229"/>
      <c r="F78" s="156"/>
      <c r="G78" s="242"/>
      <c r="H78" s="133"/>
    </row>
    <row r="79" spans="1:8" ht="15.75">
      <c r="A79" s="140" t="s">
        <v>43</v>
      </c>
      <c r="B79" s="141">
        <f>DATE(2011,7,1)</f>
        <v>40725</v>
      </c>
      <c r="C79" s="226">
        <v>11645839</v>
      </c>
      <c r="D79" s="226">
        <v>2522799.5</v>
      </c>
      <c r="E79" s="226">
        <v>2557871.5</v>
      </c>
      <c r="F79" s="142">
        <f>(+D79-E79)/E79</f>
        <v>-0.013711400279490193</v>
      </c>
      <c r="G79" s="239">
        <f>D79/C79</f>
        <v>0.2166266852907721</v>
      </c>
      <c r="H79" s="133"/>
    </row>
    <row r="80" spans="1:8" ht="15.75">
      <c r="A80" s="140"/>
      <c r="B80" s="141">
        <f>DATE(2011,8,1)</f>
        <v>40756</v>
      </c>
      <c r="C80" s="226">
        <v>10895232.5</v>
      </c>
      <c r="D80" s="226">
        <v>1385303.5</v>
      </c>
      <c r="E80" s="226">
        <v>2003941.55</v>
      </c>
      <c r="F80" s="142">
        <f>(+D80-E80)/E80</f>
        <v>-0.3087106258164067</v>
      </c>
      <c r="G80" s="239">
        <f>D80/C80</f>
        <v>0.12714767674760497</v>
      </c>
      <c r="H80" s="133"/>
    </row>
    <row r="81" spans="1:8" ht="15.75">
      <c r="A81" s="140"/>
      <c r="B81" s="141">
        <f>DATE(2011,9,1)</f>
        <v>40787</v>
      </c>
      <c r="C81" s="226">
        <v>10846957.5</v>
      </c>
      <c r="D81" s="226">
        <v>2140163.7</v>
      </c>
      <c r="E81" s="226">
        <v>1914426.5</v>
      </c>
      <c r="F81" s="142">
        <f>(+D81-E81)/E81</f>
        <v>0.11791374597039907</v>
      </c>
      <c r="G81" s="239">
        <f>D81/C81</f>
        <v>0.1973054379534538</v>
      </c>
      <c r="H81" s="133"/>
    </row>
    <row r="82" spans="1:8" ht="15.75">
      <c r="A82" s="140"/>
      <c r="B82" s="141">
        <f>DATE(2011,10,1)</f>
        <v>40817</v>
      </c>
      <c r="C82" s="226">
        <v>10077777</v>
      </c>
      <c r="D82" s="226">
        <v>2230178.9</v>
      </c>
      <c r="E82" s="226">
        <v>2425858.5</v>
      </c>
      <c r="F82" s="142">
        <f>(+D82-E82)/E82</f>
        <v>-0.0806640618156418</v>
      </c>
      <c r="G82" s="239">
        <f>D82/C82</f>
        <v>0.22129671057416728</v>
      </c>
      <c r="H82" s="133"/>
    </row>
    <row r="83" spans="1:8" ht="15.75" thickBot="1">
      <c r="A83" s="143"/>
      <c r="B83" s="144"/>
      <c r="C83" s="226"/>
      <c r="D83" s="226"/>
      <c r="E83" s="226"/>
      <c r="F83" s="142"/>
      <c r="G83" s="239"/>
      <c r="H83" s="133"/>
    </row>
    <row r="84" spans="1:8" ht="17.25" thickBot="1" thickTop="1">
      <c r="A84" s="151" t="s">
        <v>14</v>
      </c>
      <c r="B84" s="152"/>
      <c r="C84" s="228">
        <f>SUM(C79:C83)</f>
        <v>43465806</v>
      </c>
      <c r="D84" s="231">
        <f>SUM(D79:D83)</f>
        <v>8278445.6</v>
      </c>
      <c r="E84" s="228">
        <f>SUM(E79:E83)</f>
        <v>8902098.05</v>
      </c>
      <c r="F84" s="153">
        <f>(+D84-E84)/E84</f>
        <v>-0.07005679408350271</v>
      </c>
      <c r="G84" s="241">
        <f>D84/C84</f>
        <v>0.19045880801106047</v>
      </c>
      <c r="H84" s="133"/>
    </row>
    <row r="85" spans="1:8" ht="16.5" thickTop="1">
      <c r="A85" s="158"/>
      <c r="B85" s="155"/>
      <c r="C85" s="229"/>
      <c r="D85" s="229"/>
      <c r="E85" s="229"/>
      <c r="F85" s="156"/>
      <c r="G85" s="242"/>
      <c r="H85" s="133"/>
    </row>
    <row r="86" spans="1:8" ht="15.75">
      <c r="A86" s="140" t="s">
        <v>66</v>
      </c>
      <c r="B86" s="141">
        <f>DATE(2011,7,1)</f>
        <v>40725</v>
      </c>
      <c r="C86" s="226">
        <v>0</v>
      </c>
      <c r="D86" s="226">
        <v>0</v>
      </c>
      <c r="E86" s="226">
        <v>283502</v>
      </c>
      <c r="F86" s="142">
        <f>(+D86-E86)/E86</f>
        <v>-1</v>
      </c>
      <c r="G86" s="239">
        <v>0</v>
      </c>
      <c r="H86" s="133"/>
    </row>
    <row r="87" spans="1:8" ht="15.75">
      <c r="A87" s="140"/>
      <c r="B87" s="141">
        <f>DATE(2011,8,1)</f>
        <v>40756</v>
      </c>
      <c r="C87" s="226">
        <v>0</v>
      </c>
      <c r="D87" s="226">
        <v>0</v>
      </c>
      <c r="E87" s="226">
        <v>189770</v>
      </c>
      <c r="F87" s="142">
        <f>(+D87-E87)/E87</f>
        <v>-1</v>
      </c>
      <c r="G87" s="239">
        <v>0</v>
      </c>
      <c r="H87" s="133"/>
    </row>
    <row r="88" spans="1:8" ht="15.75">
      <c r="A88" s="140"/>
      <c r="B88" s="141">
        <f>DATE(2011,9,1)</f>
        <v>40787</v>
      </c>
      <c r="C88" s="226">
        <v>75970</v>
      </c>
      <c r="D88" s="226">
        <v>18189.5</v>
      </c>
      <c r="E88" s="226">
        <v>165396.5</v>
      </c>
      <c r="F88" s="142">
        <f>(+D88-E88)/E88</f>
        <v>-0.8900248796074887</v>
      </c>
      <c r="G88" s="239">
        <f>D88/C88</f>
        <v>0.23943003817296302</v>
      </c>
      <c r="H88" s="133"/>
    </row>
    <row r="89" spans="1:8" ht="15.75">
      <c r="A89" s="140"/>
      <c r="B89" s="141">
        <f>DATE(2011,10,1)</f>
        <v>40817</v>
      </c>
      <c r="C89" s="226">
        <v>1070374</v>
      </c>
      <c r="D89" s="226">
        <v>251492.5</v>
      </c>
      <c r="E89" s="226">
        <v>252805.5</v>
      </c>
      <c r="F89" s="142">
        <f>(+D89-E89)/E89</f>
        <v>-0.005193716117726869</v>
      </c>
      <c r="G89" s="239">
        <f>D89/C89</f>
        <v>0.23495759426144505</v>
      </c>
      <c r="H89" s="133"/>
    </row>
    <row r="90" spans="1:8" ht="15.75" thickBot="1">
      <c r="A90" s="143"/>
      <c r="B90" s="144"/>
      <c r="C90" s="226"/>
      <c r="D90" s="226"/>
      <c r="E90" s="226"/>
      <c r="F90" s="142"/>
      <c r="G90" s="239"/>
      <c r="H90" s="133"/>
    </row>
    <row r="91" spans="1:8" ht="17.25" thickBot="1" thickTop="1">
      <c r="A91" s="145" t="s">
        <v>14</v>
      </c>
      <c r="B91" s="146"/>
      <c r="C91" s="223">
        <f>SUM(C86:C90)</f>
        <v>1146344</v>
      </c>
      <c r="D91" s="231">
        <f>SUM(D86:D90)</f>
        <v>269682</v>
      </c>
      <c r="E91" s="231">
        <f>SUM(E86:E90)</f>
        <v>891474</v>
      </c>
      <c r="F91" s="147">
        <f>(+D91-E91)/E91</f>
        <v>-0.6974875318853943</v>
      </c>
      <c r="G91" s="241">
        <f>D91/C91</f>
        <v>0.2352539900762773</v>
      </c>
      <c r="H91" s="133"/>
    </row>
    <row r="92" spans="1:8" ht="16.5" thickBot="1" thickTop="1">
      <c r="A92" s="164"/>
      <c r="B92" s="149"/>
      <c r="C92" s="227"/>
      <c r="D92" s="227"/>
      <c r="E92" s="227"/>
      <c r="F92" s="150"/>
      <c r="G92" s="240"/>
      <c r="H92" s="133"/>
    </row>
    <row r="93" spans="1:8" ht="17.25" thickBot="1" thickTop="1">
      <c r="A93" s="165" t="s">
        <v>44</v>
      </c>
      <c r="B93" s="131"/>
      <c r="C93" s="223">
        <f>C91+C84+C63+C49+C42+C28+C14+C35+C77+C21+C56+C70</f>
        <v>329461418.54</v>
      </c>
      <c r="D93" s="223">
        <f>D91+D84+D63+D49+D42+D28+D14+D35+D77+D21+D56+D70</f>
        <v>64573771.349999994</v>
      </c>
      <c r="E93" s="223">
        <f>E91+E84+E63+E49+E42+E28+E14+E35+E77+E21+E56+E70</f>
        <v>68052268.34</v>
      </c>
      <c r="F93" s="147">
        <f>(+D93-E93)/E93</f>
        <v>-0.05111507779021976</v>
      </c>
      <c r="G93" s="236">
        <f>D93/C93</f>
        <v>0.19599797644336334</v>
      </c>
      <c r="H93" s="133"/>
    </row>
    <row r="94" spans="1:8" ht="17.25" thickBot="1" thickTop="1">
      <c r="A94" s="165"/>
      <c r="B94" s="131"/>
      <c r="C94" s="223"/>
      <c r="D94" s="223"/>
      <c r="E94" s="223"/>
      <c r="F94" s="147"/>
      <c r="G94" s="236"/>
      <c r="H94" s="133"/>
    </row>
    <row r="95" spans="1:8" ht="17.25" thickBot="1" thickTop="1">
      <c r="A95" s="293" t="s">
        <v>45</v>
      </c>
      <c r="B95" s="294"/>
      <c r="C95" s="228">
        <f>+C12+C19+C26+C33+C40+C47+C54+C61+C68+C75+C82+C89</f>
        <v>82270051.50999999</v>
      </c>
      <c r="D95" s="228">
        <f>+D12+D19+D26+D33+D40+D47+D54+D61+D68+D75+D82+D89</f>
        <v>15624977.11</v>
      </c>
      <c r="E95" s="228">
        <f>+E12+E19+E26+E33+E40+E47+E54+E61+E68+E75+E82+E89</f>
        <v>17814880.3</v>
      </c>
      <c r="F95" s="153">
        <f>(+D95-E95)/E95</f>
        <v>-0.12292550683037715</v>
      </c>
      <c r="G95" s="241">
        <f>D95/C95</f>
        <v>0.18992302573313413</v>
      </c>
      <c r="H95" s="133"/>
    </row>
    <row r="96" spans="1:8" ht="16.5" thickTop="1">
      <c r="A96" s="282"/>
      <c r="B96" s="284"/>
      <c r="C96" s="285"/>
      <c r="D96" s="285"/>
      <c r="E96" s="285"/>
      <c r="F96" s="286"/>
      <c r="G96" s="283"/>
      <c r="H96" s="283"/>
    </row>
    <row r="97" spans="1:8" ht="15.75">
      <c r="A97" s="282" t="s">
        <v>67</v>
      </c>
      <c r="B97" s="284"/>
      <c r="C97" s="285"/>
      <c r="D97" s="285"/>
      <c r="E97" s="285"/>
      <c r="F97" s="286"/>
      <c r="G97" s="283"/>
      <c r="H97" s="283"/>
    </row>
    <row r="98" spans="1:8" ht="15.75">
      <c r="A98" s="282" t="s">
        <v>68</v>
      </c>
      <c r="B98" s="284"/>
      <c r="C98" s="285"/>
      <c r="D98" s="285"/>
      <c r="E98" s="285"/>
      <c r="F98" s="286"/>
      <c r="G98" s="283"/>
      <c r="H98" s="283"/>
    </row>
    <row r="99" spans="1:8" ht="15.75">
      <c r="A99" s="282" t="s">
        <v>69</v>
      </c>
      <c r="B99" s="284"/>
      <c r="C99" s="285"/>
      <c r="D99" s="285"/>
      <c r="E99" s="285"/>
      <c r="F99" s="286"/>
      <c r="G99" s="283"/>
      <c r="H99" s="283"/>
    </row>
    <row r="100" spans="1:7" ht="18.75">
      <c r="A100" s="291" t="s">
        <v>46</v>
      </c>
      <c r="B100" s="126"/>
      <c r="C100" s="232"/>
      <c r="D100" s="232"/>
      <c r="E100" s="232"/>
      <c r="F100" s="166"/>
      <c r="G100" s="244"/>
    </row>
    <row r="101" ht="15.75">
      <c r="A101" s="80"/>
    </row>
  </sheetData>
  <printOptions horizontalCentered="1"/>
  <pageMargins left="0.7" right="0.25" top="0.319444444444444" bottom="0.2" header="0.5" footer="0.5"/>
  <pageSetup horizontalDpi="600" verticalDpi="600" orientation="landscape" scale="63" r:id="rId1"/>
  <rowBreaks count="1" manualBreakCount="1"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"/>
  <sheetViews>
    <sheetView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7.6640625" style="170" customWidth="1"/>
    <col min="2" max="2" width="9.6640625" style="170" customWidth="1"/>
    <col min="3" max="3" width="18.3359375" style="258" customWidth="1"/>
    <col min="4" max="4" width="16.4453125" style="258" customWidth="1"/>
    <col min="5" max="5" width="15.5546875" style="258" customWidth="1"/>
    <col min="6" max="6" width="9.6640625" style="170" customWidth="1"/>
    <col min="7" max="7" width="9.6640625" style="278" customWidth="1"/>
    <col min="8" max="8" width="10.88671875" style="278" customWidth="1"/>
    <col min="9" max="9" width="1.66796875" style="170" customWidth="1"/>
    <col min="10" max="16384" width="9.6640625" style="170" customWidth="1"/>
  </cols>
  <sheetData>
    <row r="1" spans="1:9" ht="18">
      <c r="A1" s="167" t="s">
        <v>0</v>
      </c>
      <c r="B1" s="168"/>
      <c r="C1" s="246"/>
      <c r="D1" s="246"/>
      <c r="E1" s="246"/>
      <c r="F1" s="168"/>
      <c r="G1" s="259"/>
      <c r="H1" s="259"/>
      <c r="I1" s="169"/>
    </row>
    <row r="2" spans="1:9" ht="18.75">
      <c r="A2" s="171" t="s">
        <v>47</v>
      </c>
      <c r="B2" s="168"/>
      <c r="C2" s="246"/>
      <c r="D2" s="246"/>
      <c r="E2" s="246"/>
      <c r="F2" s="168"/>
      <c r="G2" s="259"/>
      <c r="H2" s="259"/>
      <c r="I2" s="169"/>
    </row>
    <row r="3" spans="1:9" ht="18">
      <c r="A3" s="167" t="s">
        <v>48</v>
      </c>
      <c r="B3" s="168"/>
      <c r="C3" s="246"/>
      <c r="D3" s="246"/>
      <c r="E3" s="246"/>
      <c r="F3" s="168"/>
      <c r="G3" s="259"/>
      <c r="H3" s="259"/>
      <c r="I3" s="169"/>
    </row>
    <row r="4" spans="1:9" ht="18">
      <c r="A4" s="167" t="s">
        <v>75</v>
      </c>
      <c r="B4" s="168"/>
      <c r="C4" s="246"/>
      <c r="D4" s="246"/>
      <c r="E4" s="246"/>
      <c r="F4" s="168"/>
      <c r="G4" s="259"/>
      <c r="H4" s="259"/>
      <c r="I4" s="169"/>
    </row>
    <row r="5" spans="1:9" ht="15">
      <c r="A5" s="172" t="s">
        <v>71</v>
      </c>
      <c r="B5" s="168"/>
      <c r="C5" s="246"/>
      <c r="D5" s="246"/>
      <c r="E5" s="246"/>
      <c r="F5" s="168"/>
      <c r="G5" s="259"/>
      <c r="H5" s="259"/>
      <c r="I5" s="169"/>
    </row>
    <row r="6" spans="1:9" ht="16.5" thickBot="1">
      <c r="A6" s="168"/>
      <c r="B6" s="168"/>
      <c r="C6" s="246"/>
      <c r="D6" s="246"/>
      <c r="E6" s="246"/>
      <c r="F6" s="168"/>
      <c r="G6" s="260" t="s">
        <v>49</v>
      </c>
      <c r="H6" s="260"/>
      <c r="I6" s="169"/>
    </row>
    <row r="7" spans="1:9" ht="16.5" thickTop="1">
      <c r="A7" s="173"/>
      <c r="B7" s="174" t="s">
        <v>2</v>
      </c>
      <c r="C7" s="247" t="s">
        <v>50</v>
      </c>
      <c r="D7" s="247" t="s">
        <v>35</v>
      </c>
      <c r="E7" s="247" t="s">
        <v>3</v>
      </c>
      <c r="F7" s="175"/>
      <c r="G7" s="261" t="s">
        <v>36</v>
      </c>
      <c r="H7" s="279" t="s">
        <v>36</v>
      </c>
      <c r="I7" s="176"/>
    </row>
    <row r="8" spans="1:9" ht="16.5" thickBot="1">
      <c r="A8" s="177" t="s">
        <v>5</v>
      </c>
      <c r="B8" s="178" t="s">
        <v>6</v>
      </c>
      <c r="C8" s="248" t="s">
        <v>51</v>
      </c>
      <c r="D8" s="248" t="s">
        <v>52</v>
      </c>
      <c r="E8" s="248" t="s">
        <v>52</v>
      </c>
      <c r="F8" s="179" t="s">
        <v>8</v>
      </c>
      <c r="G8" s="263" t="s">
        <v>39</v>
      </c>
      <c r="H8" s="280" t="s">
        <v>53</v>
      </c>
      <c r="I8" s="176"/>
    </row>
    <row r="9" spans="1:9" ht="16.5" thickTop="1">
      <c r="A9" s="180"/>
      <c r="B9" s="181"/>
      <c r="C9" s="249"/>
      <c r="D9" s="249"/>
      <c r="E9" s="249"/>
      <c r="F9" s="182"/>
      <c r="G9" s="264"/>
      <c r="H9" s="265"/>
      <c r="I9" s="176"/>
    </row>
    <row r="10" spans="1:9" ht="15.75">
      <c r="A10" s="183" t="s">
        <v>40</v>
      </c>
      <c r="B10" s="184">
        <f>DATE(11,7,1)</f>
        <v>4200</v>
      </c>
      <c r="C10" s="250">
        <v>168287968.57</v>
      </c>
      <c r="D10" s="250">
        <v>15503218.7</v>
      </c>
      <c r="E10" s="250">
        <v>15205967.11</v>
      </c>
      <c r="F10" s="185">
        <f>(+D10-E10)/E10</f>
        <v>0.01954835150238595</v>
      </c>
      <c r="G10" s="266">
        <f>D10/C10</f>
        <v>0.09212315551572767</v>
      </c>
      <c r="H10" s="267">
        <f>1-G10</f>
        <v>0.9078768444842723</v>
      </c>
      <c r="I10" s="176"/>
    </row>
    <row r="11" spans="1:9" ht="15.75">
      <c r="A11" s="183"/>
      <c r="B11" s="184">
        <f>DATE(11,8,1)</f>
        <v>4231</v>
      </c>
      <c r="C11" s="250">
        <v>156538472.76</v>
      </c>
      <c r="D11" s="250">
        <v>14516906.17</v>
      </c>
      <c r="E11" s="250">
        <v>14248352.51</v>
      </c>
      <c r="F11" s="185">
        <f>(+D11-E11)/E11</f>
        <v>0.01884804996307606</v>
      </c>
      <c r="G11" s="266">
        <f>D11/C11</f>
        <v>0.09273698608428918</v>
      </c>
      <c r="H11" s="267">
        <f>1-G11</f>
        <v>0.9072630139157108</v>
      </c>
      <c r="I11" s="176"/>
    </row>
    <row r="12" spans="1:9" ht="15.75">
      <c r="A12" s="183"/>
      <c r="B12" s="184">
        <f>DATE(11,9,1)</f>
        <v>4262</v>
      </c>
      <c r="C12" s="250">
        <v>154140350.23</v>
      </c>
      <c r="D12" s="250">
        <v>14324107.9</v>
      </c>
      <c r="E12" s="250">
        <v>14122939.7</v>
      </c>
      <c r="F12" s="185">
        <f>(+D12-E12)/E12</f>
        <v>0.014244074128561289</v>
      </c>
      <c r="G12" s="266">
        <f>D12/C12</f>
        <v>0.09292899541636133</v>
      </c>
      <c r="H12" s="267">
        <f>1-G12</f>
        <v>0.9070710045836387</v>
      </c>
      <c r="I12" s="176"/>
    </row>
    <row r="13" spans="1:9" ht="15.75">
      <c r="A13" s="183"/>
      <c r="B13" s="184">
        <f>DATE(11,10,1)</f>
        <v>4292</v>
      </c>
      <c r="C13" s="250">
        <v>149907440.28</v>
      </c>
      <c r="D13" s="250">
        <v>14425174.54</v>
      </c>
      <c r="E13" s="250">
        <v>14499368.24</v>
      </c>
      <c r="F13" s="185">
        <f>(+D13-E13)/E13</f>
        <v>-0.005117029843777601</v>
      </c>
      <c r="G13" s="266">
        <f>D13/C13</f>
        <v>0.09622720868995148</v>
      </c>
      <c r="H13" s="267">
        <f>1-G13</f>
        <v>0.9037727913100485</v>
      </c>
      <c r="I13" s="176"/>
    </row>
    <row r="14" spans="1:9" ht="15.75" thickBot="1">
      <c r="A14" s="186"/>
      <c r="B14" s="187"/>
      <c r="C14" s="250"/>
      <c r="D14" s="250"/>
      <c r="E14" s="250"/>
      <c r="F14" s="185"/>
      <c r="G14" s="266"/>
      <c r="H14" s="267"/>
      <c r="I14" s="176"/>
    </row>
    <row r="15" spans="1:9" ht="17.25" thickBot="1" thickTop="1">
      <c r="A15" s="188" t="s">
        <v>14</v>
      </c>
      <c r="B15" s="174"/>
      <c r="C15" s="247">
        <f>SUM(C10:C14)</f>
        <v>628874231.8399999</v>
      </c>
      <c r="D15" s="247">
        <f>SUM(D10:D14)</f>
        <v>58769407.309999995</v>
      </c>
      <c r="E15" s="247">
        <f>SUM(E10:E14)</f>
        <v>58076627.559999995</v>
      </c>
      <c r="F15" s="189">
        <f>(+D15-E15)/E15</f>
        <v>0.01192871864476423</v>
      </c>
      <c r="G15" s="261">
        <f>D15/C15</f>
        <v>0.09345176560669174</v>
      </c>
      <c r="H15" s="262">
        <f>1-G15</f>
        <v>0.9065482343933082</v>
      </c>
      <c r="I15" s="176"/>
    </row>
    <row r="16" spans="1:9" ht="15.75" thickTop="1">
      <c r="A16" s="190"/>
      <c r="B16" s="191"/>
      <c r="C16" s="251"/>
      <c r="D16" s="251"/>
      <c r="E16" s="251"/>
      <c r="F16" s="192"/>
      <c r="G16" s="268"/>
      <c r="H16" s="269"/>
      <c r="I16" s="176"/>
    </row>
    <row r="17" spans="1:9" ht="15.75">
      <c r="A17" s="20" t="s">
        <v>54</v>
      </c>
      <c r="B17" s="184">
        <f>DATE(11,7,1)</f>
        <v>4200</v>
      </c>
      <c r="C17" s="250">
        <v>83775367.7</v>
      </c>
      <c r="D17" s="250">
        <v>7114746.72</v>
      </c>
      <c r="E17" s="250">
        <v>7057528.09</v>
      </c>
      <c r="F17" s="185">
        <f>(+D17-E17)/E17</f>
        <v>0.008107460469207978</v>
      </c>
      <c r="G17" s="266">
        <f>D17/C17</f>
        <v>0.0849264755897932</v>
      </c>
      <c r="H17" s="267">
        <f>1-G17</f>
        <v>0.9150735244102068</v>
      </c>
      <c r="I17" s="176"/>
    </row>
    <row r="18" spans="1:9" ht="15.75">
      <c r="A18" s="20"/>
      <c r="B18" s="184">
        <f>DATE(11,8,1)</f>
        <v>4231</v>
      </c>
      <c r="C18" s="250">
        <v>74224768.33</v>
      </c>
      <c r="D18" s="250">
        <v>6378278.9</v>
      </c>
      <c r="E18" s="250">
        <v>6357488.27</v>
      </c>
      <c r="F18" s="185">
        <f>(+D18-E18)/E18</f>
        <v>0.0032702584915663274</v>
      </c>
      <c r="G18" s="266">
        <f>D18/C18</f>
        <v>0.08593194756287359</v>
      </c>
      <c r="H18" s="267">
        <f>1-G18</f>
        <v>0.9140680524371264</v>
      </c>
      <c r="I18" s="176"/>
    </row>
    <row r="19" spans="1:9" ht="15.75">
      <c r="A19" s="20"/>
      <c r="B19" s="184">
        <f>DATE(11,9,1)</f>
        <v>4262</v>
      </c>
      <c r="C19" s="250">
        <v>73563404.69</v>
      </c>
      <c r="D19" s="250">
        <v>6379505.08</v>
      </c>
      <c r="E19" s="250">
        <v>6421690.91</v>
      </c>
      <c r="F19" s="185">
        <f>(+D19-E19)/E19</f>
        <v>-0.0065692713323070966</v>
      </c>
      <c r="G19" s="266">
        <f>D19/C19</f>
        <v>0.08672117755946133</v>
      </c>
      <c r="H19" s="267">
        <f>1-G19</f>
        <v>0.9132788224405387</v>
      </c>
      <c r="I19" s="176"/>
    </row>
    <row r="20" spans="1:9" ht="15.75">
      <c r="A20" s="20"/>
      <c r="B20" s="184">
        <f>DATE(11,10,1)</f>
        <v>4292</v>
      </c>
      <c r="C20" s="250">
        <v>75729002.91</v>
      </c>
      <c r="D20" s="250">
        <v>6326222.91</v>
      </c>
      <c r="E20" s="250">
        <v>6866939.17</v>
      </c>
      <c r="F20" s="185">
        <f>(+D20-E20)/E20</f>
        <v>-0.07874196153684579</v>
      </c>
      <c r="G20" s="266">
        <f>D20/C20</f>
        <v>0.08353764960458265</v>
      </c>
      <c r="H20" s="267">
        <f>1-G20</f>
        <v>0.9164623503954173</v>
      </c>
      <c r="I20" s="176"/>
    </row>
    <row r="21" spans="1:9" ht="15.75" thickBot="1">
      <c r="A21" s="186"/>
      <c r="B21" s="184"/>
      <c r="C21" s="250"/>
      <c r="D21" s="250"/>
      <c r="E21" s="250"/>
      <c r="F21" s="185"/>
      <c r="G21" s="266"/>
      <c r="H21" s="267"/>
      <c r="I21" s="176"/>
    </row>
    <row r="22" spans="1:9" ht="17.25" thickBot="1" thickTop="1">
      <c r="A22" s="188" t="s">
        <v>14</v>
      </c>
      <c r="B22" s="174"/>
      <c r="C22" s="247">
        <f>SUM(C17:C21)</f>
        <v>307292543.63</v>
      </c>
      <c r="D22" s="247">
        <f>SUM(D17:D21)</f>
        <v>26198753.610000003</v>
      </c>
      <c r="E22" s="247">
        <f>SUM(E17:E21)</f>
        <v>26703646.439999998</v>
      </c>
      <c r="F22" s="189">
        <f>(+D22-E22)/E22</f>
        <v>-0.018907261640631372</v>
      </c>
      <c r="G22" s="261">
        <f>D22/C22</f>
        <v>0.08525671759073006</v>
      </c>
      <c r="H22" s="262">
        <f>1-G22</f>
        <v>0.9147432824092699</v>
      </c>
      <c r="I22" s="176"/>
    </row>
    <row r="23" spans="1:9" ht="15.75" thickTop="1">
      <c r="A23" s="190"/>
      <c r="B23" s="191"/>
      <c r="C23" s="251"/>
      <c r="D23" s="251"/>
      <c r="E23" s="251"/>
      <c r="F23" s="192"/>
      <c r="G23" s="268"/>
      <c r="H23" s="269"/>
      <c r="I23" s="176"/>
    </row>
    <row r="24" spans="1:9" ht="15.75">
      <c r="A24" s="20" t="s">
        <v>64</v>
      </c>
      <c r="B24" s="184">
        <f>DATE(11,7,1)</f>
        <v>4200</v>
      </c>
      <c r="C24" s="250">
        <v>24966779.77</v>
      </c>
      <c r="D24" s="250">
        <v>2705765.16</v>
      </c>
      <c r="E24" s="250">
        <v>2850989.29</v>
      </c>
      <c r="F24" s="185">
        <f>(+D24-E24)/E24</f>
        <v>-0.05093815347163226</v>
      </c>
      <c r="G24" s="266">
        <f>D24/C24</f>
        <v>0.10837461558623747</v>
      </c>
      <c r="H24" s="267">
        <f>1-G24</f>
        <v>0.8916253844137625</v>
      </c>
      <c r="I24" s="176"/>
    </row>
    <row r="25" spans="1:9" ht="15.75">
      <c r="A25" s="20"/>
      <c r="B25" s="184">
        <f>DATE(11,8,1)</f>
        <v>4231</v>
      </c>
      <c r="C25" s="250">
        <v>22627199.18</v>
      </c>
      <c r="D25" s="250">
        <v>2406758.12</v>
      </c>
      <c r="E25" s="250">
        <v>2557961.5</v>
      </c>
      <c r="F25" s="185">
        <f>(+D25-E25)/E25</f>
        <v>-0.05911088966741677</v>
      </c>
      <c r="G25" s="266">
        <f>D25/C25</f>
        <v>0.10636571061465329</v>
      </c>
      <c r="H25" s="267">
        <f>1-G25</f>
        <v>0.8936342893853467</v>
      </c>
      <c r="I25" s="176"/>
    </row>
    <row r="26" spans="1:9" ht="15.75">
      <c r="A26" s="20"/>
      <c r="B26" s="184">
        <f>DATE(11,9,1)</f>
        <v>4262</v>
      </c>
      <c r="C26" s="250">
        <v>23160624.51</v>
      </c>
      <c r="D26" s="250">
        <v>2539001.84</v>
      </c>
      <c r="E26" s="250">
        <v>2574424.67</v>
      </c>
      <c r="F26" s="185">
        <f>(+D26-E26)/E26</f>
        <v>-0.013759513110942988</v>
      </c>
      <c r="G26" s="266">
        <f>D26/C26</f>
        <v>0.10962579350585913</v>
      </c>
      <c r="H26" s="267">
        <f>1-G26</f>
        <v>0.8903742064941409</v>
      </c>
      <c r="I26" s="176"/>
    </row>
    <row r="27" spans="1:9" ht="15.75">
      <c r="A27" s="20"/>
      <c r="B27" s="184">
        <f>DATE(11,10,1)</f>
        <v>4292</v>
      </c>
      <c r="C27" s="250">
        <v>22603890.37</v>
      </c>
      <c r="D27" s="250">
        <v>2486856.67</v>
      </c>
      <c r="E27" s="250">
        <v>2583750.13</v>
      </c>
      <c r="F27" s="185">
        <f>(+D27-E27)/E27</f>
        <v>-0.037501095355532685</v>
      </c>
      <c r="G27" s="266">
        <f>D27/C27</f>
        <v>0.11001896705801444</v>
      </c>
      <c r="H27" s="267">
        <f>1-G27</f>
        <v>0.8899810329419856</v>
      </c>
      <c r="I27" s="176"/>
    </row>
    <row r="28" spans="1:9" ht="15.75" thickBot="1">
      <c r="A28" s="186"/>
      <c r="B28" s="184"/>
      <c r="C28" s="250"/>
      <c r="D28" s="250"/>
      <c r="E28" s="250"/>
      <c r="F28" s="185"/>
      <c r="G28" s="266"/>
      <c r="H28" s="267"/>
      <c r="I28" s="176"/>
    </row>
    <row r="29" spans="1:9" ht="17.25" thickBot="1" thickTop="1">
      <c r="A29" s="193" t="s">
        <v>14</v>
      </c>
      <c r="B29" s="194"/>
      <c r="C29" s="252">
        <f>SUM(C24:C28)</f>
        <v>93358493.83000001</v>
      </c>
      <c r="D29" s="252">
        <f>SUM(D24:D28)</f>
        <v>10138381.79</v>
      </c>
      <c r="E29" s="252">
        <f>SUM(E24:E28)</f>
        <v>10567125.59</v>
      </c>
      <c r="F29" s="195">
        <f>(+D29-E29)/E29</f>
        <v>-0.04057336087741158</v>
      </c>
      <c r="G29" s="270">
        <f>D29/C29</f>
        <v>0.10859624415600962</v>
      </c>
      <c r="H29" s="271">
        <f>1-G29</f>
        <v>0.8914037558439903</v>
      </c>
      <c r="I29" s="176"/>
    </row>
    <row r="30" spans="1:9" ht="15.75" thickTop="1">
      <c r="A30" s="196"/>
      <c r="B30" s="197"/>
      <c r="C30" s="253"/>
      <c r="D30" s="253"/>
      <c r="E30" s="253"/>
      <c r="F30" s="198"/>
      <c r="G30" s="272"/>
      <c r="H30" s="267"/>
      <c r="I30" s="176"/>
    </row>
    <row r="31" spans="1:9" ht="15.75">
      <c r="A31" s="199" t="s">
        <v>41</v>
      </c>
      <c r="B31" s="184">
        <f>DATE(11,7,1)</f>
        <v>4200</v>
      </c>
      <c r="C31" s="250">
        <v>234523755.21</v>
      </c>
      <c r="D31" s="250">
        <v>21734367.86</v>
      </c>
      <c r="E31" s="250">
        <v>22090550.23</v>
      </c>
      <c r="F31" s="185">
        <f>(+D31-E31)/E31</f>
        <v>-0.01612374369545077</v>
      </c>
      <c r="G31" s="266">
        <f>D31/C31</f>
        <v>0.09267448340377442</v>
      </c>
      <c r="H31" s="267">
        <f>1-G31</f>
        <v>0.9073255165962256</v>
      </c>
      <c r="I31" s="176"/>
    </row>
    <row r="32" spans="1:9" ht="15.75">
      <c r="A32" s="199"/>
      <c r="B32" s="184">
        <f>DATE(11,8,1)</f>
        <v>4231</v>
      </c>
      <c r="C32" s="250">
        <v>208758722.93</v>
      </c>
      <c r="D32" s="250">
        <v>18639382.06</v>
      </c>
      <c r="E32" s="250">
        <v>19927779.59</v>
      </c>
      <c r="F32" s="185">
        <f>(+D32-E32)/E32</f>
        <v>-0.0646533410398886</v>
      </c>
      <c r="G32" s="266">
        <f>D32/C32</f>
        <v>0.0892867220032289</v>
      </c>
      <c r="H32" s="267">
        <f>1-G32</f>
        <v>0.910713277996771</v>
      </c>
      <c r="I32" s="176"/>
    </row>
    <row r="33" spans="1:9" ht="15.75">
      <c r="A33" s="199"/>
      <c r="B33" s="184">
        <f>DATE(11,9,1)</f>
        <v>4262</v>
      </c>
      <c r="C33" s="250">
        <v>210541410.62</v>
      </c>
      <c r="D33" s="250">
        <v>19343462.15</v>
      </c>
      <c r="E33" s="250">
        <v>19914648.15</v>
      </c>
      <c r="F33" s="185">
        <f>(+D33-E33)/E33</f>
        <v>-0.0286817018155553</v>
      </c>
      <c r="G33" s="266">
        <f>D33/C33</f>
        <v>0.0918748577443154</v>
      </c>
      <c r="H33" s="267">
        <f>1-G33</f>
        <v>0.9081251422556846</v>
      </c>
      <c r="I33" s="176"/>
    </row>
    <row r="34" spans="1:9" ht="15.75">
      <c r="A34" s="199"/>
      <c r="B34" s="184">
        <f>DATE(11,10,1)</f>
        <v>4292</v>
      </c>
      <c r="C34" s="250">
        <v>204961513.32</v>
      </c>
      <c r="D34" s="250">
        <v>18742741.85</v>
      </c>
      <c r="E34" s="250">
        <v>19882258.58</v>
      </c>
      <c r="F34" s="185">
        <f>(+D34-E34)/E34</f>
        <v>-0.057313243634516536</v>
      </c>
      <c r="G34" s="266">
        <f>D34/C34</f>
        <v>0.09144517693298618</v>
      </c>
      <c r="H34" s="267">
        <f>1-G34</f>
        <v>0.9085548230670139</v>
      </c>
      <c r="I34" s="176"/>
    </row>
    <row r="35" spans="1:9" ht="15.75" thickBot="1">
      <c r="A35" s="186"/>
      <c r="B35" s="187"/>
      <c r="C35" s="250"/>
      <c r="D35" s="250"/>
      <c r="E35" s="250"/>
      <c r="F35" s="185"/>
      <c r="G35" s="266"/>
      <c r="H35" s="267"/>
      <c r="I35" s="176"/>
    </row>
    <row r="36" spans="1:9" ht="17.25" thickBot="1" thickTop="1">
      <c r="A36" s="193" t="s">
        <v>14</v>
      </c>
      <c r="B36" s="200"/>
      <c r="C36" s="252">
        <f>SUM(C31:C35)</f>
        <v>858785402.0799999</v>
      </c>
      <c r="D36" s="252">
        <f>SUM(D31:D35)</f>
        <v>78459953.92</v>
      </c>
      <c r="E36" s="252">
        <f>SUM(E31:E35)</f>
        <v>81815236.55</v>
      </c>
      <c r="F36" s="195">
        <f>(+D36-E36)/E36</f>
        <v>-0.04101048620631282</v>
      </c>
      <c r="G36" s="270">
        <f>D36/C36</f>
        <v>0.09136153657242893</v>
      </c>
      <c r="H36" s="271">
        <f>1-G36</f>
        <v>0.908638463427571</v>
      </c>
      <c r="I36" s="176"/>
    </row>
    <row r="37" spans="1:9" ht="15.75" thickTop="1">
      <c r="A37" s="196"/>
      <c r="B37" s="197"/>
      <c r="C37" s="253"/>
      <c r="D37" s="253"/>
      <c r="E37" s="253"/>
      <c r="F37" s="198"/>
      <c r="G37" s="272"/>
      <c r="H37" s="267"/>
      <c r="I37" s="176"/>
    </row>
    <row r="38" spans="1:9" ht="15.75">
      <c r="A38" s="183" t="s">
        <v>17</v>
      </c>
      <c r="B38" s="184">
        <f>DATE(11,7,1)</f>
        <v>4200</v>
      </c>
      <c r="C38" s="250">
        <v>156681444.53</v>
      </c>
      <c r="D38" s="250">
        <v>14707335.76</v>
      </c>
      <c r="E38" s="250">
        <v>14927115.89</v>
      </c>
      <c r="F38" s="185">
        <f>(+D38-E38)/E38</f>
        <v>-0.014723549520188043</v>
      </c>
      <c r="G38" s="266">
        <f>D38/C38</f>
        <v>0.0938677569901008</v>
      </c>
      <c r="H38" s="267">
        <f>1-G38</f>
        <v>0.9061322430098993</v>
      </c>
      <c r="I38" s="176"/>
    </row>
    <row r="39" spans="1:9" ht="15.75">
      <c r="A39" s="183"/>
      <c r="B39" s="184">
        <f>DATE(11,8,1)</f>
        <v>4231</v>
      </c>
      <c r="C39" s="250">
        <v>144458457.21</v>
      </c>
      <c r="D39" s="250">
        <v>13588315.24</v>
      </c>
      <c r="E39" s="250">
        <v>13793938.51</v>
      </c>
      <c r="F39" s="185">
        <f>(+D39-E39)/E39</f>
        <v>-0.014906784588820061</v>
      </c>
      <c r="G39" s="266">
        <f>D39/C39</f>
        <v>0.09406382639298574</v>
      </c>
      <c r="H39" s="267">
        <f>1-G39</f>
        <v>0.9059361736070143</v>
      </c>
      <c r="I39" s="176"/>
    </row>
    <row r="40" spans="1:9" ht="15.75">
      <c r="A40" s="183"/>
      <c r="B40" s="184">
        <f>DATE(11,9,1)</f>
        <v>4262</v>
      </c>
      <c r="C40" s="250">
        <v>142081639.97</v>
      </c>
      <c r="D40" s="250">
        <v>13756146.76</v>
      </c>
      <c r="E40" s="250">
        <v>13365444.61</v>
      </c>
      <c r="F40" s="185">
        <f>(+D40-E40)/E40</f>
        <v>0.029232259861200413</v>
      </c>
      <c r="G40" s="266">
        <f>D40/C40</f>
        <v>0.09681860909618271</v>
      </c>
      <c r="H40" s="267">
        <f>1-G40</f>
        <v>0.9031813909038173</v>
      </c>
      <c r="I40" s="176"/>
    </row>
    <row r="41" spans="1:9" ht="15.75">
      <c r="A41" s="183"/>
      <c r="B41" s="184">
        <f>DATE(11,10,1)</f>
        <v>4292</v>
      </c>
      <c r="C41" s="250">
        <v>140840059.85</v>
      </c>
      <c r="D41" s="250">
        <v>13420012.56</v>
      </c>
      <c r="E41" s="250">
        <v>14430099</v>
      </c>
      <c r="F41" s="185">
        <f>(+D41-E41)/E41</f>
        <v>-0.06999858005132185</v>
      </c>
      <c r="G41" s="266">
        <f>D41/C41</f>
        <v>0.09528547896310767</v>
      </c>
      <c r="H41" s="267">
        <f>1-G41</f>
        <v>0.9047145210368923</v>
      </c>
      <c r="I41" s="176"/>
    </row>
    <row r="42" spans="1:9" ht="15.75" thickBot="1">
      <c r="A42" s="186"/>
      <c r="B42" s="184"/>
      <c r="C42" s="250"/>
      <c r="D42" s="250"/>
      <c r="E42" s="250"/>
      <c r="F42" s="185"/>
      <c r="G42" s="266"/>
      <c r="H42" s="267"/>
      <c r="I42" s="176"/>
    </row>
    <row r="43" spans="1:9" ht="17.25" thickBot="1" thickTop="1">
      <c r="A43" s="193" t="s">
        <v>14</v>
      </c>
      <c r="B43" s="194"/>
      <c r="C43" s="252">
        <f>SUM(C38:C42)</f>
        <v>584061601.5600001</v>
      </c>
      <c r="D43" s="255">
        <f>SUM(D38:D42)</f>
        <v>55471810.32</v>
      </c>
      <c r="E43" s="299">
        <f>SUM(E38:E42)</f>
        <v>56516598.01</v>
      </c>
      <c r="F43" s="300">
        <f>(+D43-E43)/E43</f>
        <v>-0.018486386774645102</v>
      </c>
      <c r="G43" s="275">
        <f>D43/C43</f>
        <v>0.09497595830959868</v>
      </c>
      <c r="H43" s="298">
        <f>1-G43</f>
        <v>0.9050240416904013</v>
      </c>
      <c r="I43" s="176"/>
    </row>
    <row r="44" spans="1:9" ht="15.75" thickTop="1">
      <c r="A44" s="196"/>
      <c r="B44" s="197"/>
      <c r="C44" s="253"/>
      <c r="D44" s="253"/>
      <c r="E44" s="253"/>
      <c r="F44" s="198"/>
      <c r="G44" s="272"/>
      <c r="H44" s="267"/>
      <c r="I44" s="176"/>
    </row>
    <row r="45" spans="1:9" ht="15.75">
      <c r="A45" s="183" t="s">
        <v>18</v>
      </c>
      <c r="B45" s="184">
        <f>DATE(11,7,1)</f>
        <v>4200</v>
      </c>
      <c r="C45" s="250">
        <v>70969259.47</v>
      </c>
      <c r="D45" s="250">
        <v>6935260.95</v>
      </c>
      <c r="E45" s="250">
        <v>6706512.07</v>
      </c>
      <c r="F45" s="185">
        <f>(+D45-E45)/E45</f>
        <v>0.03410847212566038</v>
      </c>
      <c r="G45" s="266">
        <f>D45/C45</f>
        <v>0.0977220419346726</v>
      </c>
      <c r="H45" s="267">
        <f>1-G45</f>
        <v>0.9022779580653274</v>
      </c>
      <c r="I45" s="176"/>
    </row>
    <row r="46" spans="1:9" ht="15.75">
      <c r="A46" s="183"/>
      <c r="B46" s="184">
        <f>DATE(11,8,1)</f>
        <v>4231</v>
      </c>
      <c r="C46" s="250">
        <v>68358763.38</v>
      </c>
      <c r="D46" s="250">
        <v>6599014.12</v>
      </c>
      <c r="E46" s="250">
        <v>6475877.77</v>
      </c>
      <c r="F46" s="185">
        <f>(+D46-E46)/E46</f>
        <v>0.019014619233617896</v>
      </c>
      <c r="G46" s="266">
        <f>D46/C46</f>
        <v>0.09653501312358001</v>
      </c>
      <c r="H46" s="267">
        <f>1-G46</f>
        <v>0.90346498687642</v>
      </c>
      <c r="I46" s="176"/>
    </row>
    <row r="47" spans="1:9" ht="15.75">
      <c r="A47" s="183"/>
      <c r="B47" s="184">
        <f>DATE(11,9,1)</f>
        <v>4262</v>
      </c>
      <c r="C47" s="250">
        <v>67713421.01</v>
      </c>
      <c r="D47" s="250">
        <v>6575172</v>
      </c>
      <c r="E47" s="250">
        <v>6307633.44</v>
      </c>
      <c r="F47" s="185">
        <f>(+D47-E47)/E47</f>
        <v>0.04241504560226943</v>
      </c>
      <c r="G47" s="266">
        <f>D47/C47</f>
        <v>0.09710293619678395</v>
      </c>
      <c r="H47" s="267">
        <f>1-G47</f>
        <v>0.9028970638032161</v>
      </c>
      <c r="I47" s="176"/>
    </row>
    <row r="48" spans="1:9" ht="15.75">
      <c r="A48" s="183"/>
      <c r="B48" s="184">
        <f>DATE(11,10,1)</f>
        <v>4292</v>
      </c>
      <c r="C48" s="250">
        <v>66672104.27</v>
      </c>
      <c r="D48" s="250">
        <v>6472614.91</v>
      </c>
      <c r="E48" s="250">
        <v>6535222.38</v>
      </c>
      <c r="F48" s="185">
        <f>(+D48-E48)/E48</f>
        <v>-0.009580006059411209</v>
      </c>
      <c r="G48" s="266">
        <f>D48/C48</f>
        <v>0.09708130530555999</v>
      </c>
      <c r="H48" s="267">
        <f>1-G48</f>
        <v>0.90291869469444</v>
      </c>
      <c r="I48" s="176"/>
    </row>
    <row r="49" spans="1:9" ht="15.75" thickBot="1">
      <c r="A49" s="186"/>
      <c r="B49" s="184"/>
      <c r="C49" s="250"/>
      <c r="D49" s="250"/>
      <c r="E49" s="250"/>
      <c r="F49" s="185"/>
      <c r="G49" s="266"/>
      <c r="H49" s="267"/>
      <c r="I49" s="176"/>
    </row>
    <row r="50" spans="1:9" ht="17.25" thickBot="1" thickTop="1">
      <c r="A50" s="193" t="s">
        <v>14</v>
      </c>
      <c r="B50" s="194"/>
      <c r="C50" s="252">
        <f>SUM(C45:C49)</f>
        <v>273713548.13</v>
      </c>
      <c r="D50" s="255">
        <f>SUM(D45:D49)</f>
        <v>26582061.98</v>
      </c>
      <c r="E50" s="299">
        <f>SUM(E45:E49)</f>
        <v>26025245.66</v>
      </c>
      <c r="F50" s="300">
        <f>(+D50-E50)/E50</f>
        <v>0.021395237811561173</v>
      </c>
      <c r="G50" s="275">
        <f>D50/C50</f>
        <v>0.09711635453052135</v>
      </c>
      <c r="H50" s="298">
        <f>1-G50</f>
        <v>0.9028836454694786</v>
      </c>
      <c r="I50" s="176"/>
    </row>
    <row r="51" spans="1:9" ht="15.75" thickTop="1">
      <c r="A51" s="196"/>
      <c r="B51" s="197"/>
      <c r="C51" s="253"/>
      <c r="D51" s="253"/>
      <c r="E51" s="253"/>
      <c r="F51" s="198"/>
      <c r="G51" s="272"/>
      <c r="H51" s="267"/>
      <c r="I51" s="176"/>
    </row>
    <row r="52" spans="1:9" ht="15.75">
      <c r="A52" s="183" t="s">
        <v>60</v>
      </c>
      <c r="B52" s="184">
        <f>DATE(11,7,1)</f>
        <v>4200</v>
      </c>
      <c r="C52" s="250">
        <v>138260418.55</v>
      </c>
      <c r="D52" s="250">
        <v>12286825.82</v>
      </c>
      <c r="E52" s="250">
        <v>12514217.96</v>
      </c>
      <c r="F52" s="185">
        <f>(+D52-E52)/E52</f>
        <v>-0.018170703173528598</v>
      </c>
      <c r="G52" s="266">
        <f>D52/C52</f>
        <v>0.08886726909159931</v>
      </c>
      <c r="H52" s="267">
        <f>1-G52</f>
        <v>0.9111327309084007</v>
      </c>
      <c r="I52" s="176"/>
    </row>
    <row r="53" spans="1:9" ht="15.75">
      <c r="A53" s="183"/>
      <c r="B53" s="184">
        <f>DATE(11,8,1)</f>
        <v>4231</v>
      </c>
      <c r="C53" s="250">
        <v>130030448.31</v>
      </c>
      <c r="D53" s="250">
        <v>11548317.57</v>
      </c>
      <c r="E53" s="250">
        <v>11642006.58</v>
      </c>
      <c r="F53" s="185">
        <f>(+D53-E53)/E53</f>
        <v>-0.008047496740033605</v>
      </c>
      <c r="G53" s="266">
        <f>D53/C53</f>
        <v>0.0888124106322248</v>
      </c>
      <c r="H53" s="267">
        <f>1-G53</f>
        <v>0.9111875893677752</v>
      </c>
      <c r="I53" s="176"/>
    </row>
    <row r="54" spans="1:9" ht="15.75">
      <c r="A54" s="183"/>
      <c r="B54" s="184">
        <f>DATE(11,9,1)</f>
        <v>4262</v>
      </c>
      <c r="C54" s="250">
        <v>130858944.1</v>
      </c>
      <c r="D54" s="250">
        <v>11701186.73</v>
      </c>
      <c r="E54" s="250">
        <v>11237441.91</v>
      </c>
      <c r="F54" s="185">
        <f>(+D54-E54)/E54</f>
        <v>0.041267828008732306</v>
      </c>
      <c r="G54" s="266">
        <f>D54/C54</f>
        <v>0.08941831840747674</v>
      </c>
      <c r="H54" s="267">
        <f>1-G54</f>
        <v>0.9105816815925233</v>
      </c>
      <c r="I54" s="176"/>
    </row>
    <row r="55" spans="1:9" ht="15.75">
      <c r="A55" s="183"/>
      <c r="B55" s="184">
        <f>DATE(11,10,1)</f>
        <v>4292</v>
      </c>
      <c r="C55" s="250">
        <v>126906334.61</v>
      </c>
      <c r="D55" s="250">
        <v>10984198.76</v>
      </c>
      <c r="E55" s="250">
        <v>11440861.01</v>
      </c>
      <c r="F55" s="185">
        <f>(+D55-E55)/E55</f>
        <v>-0.03991502471718254</v>
      </c>
      <c r="G55" s="266">
        <f>D55/C55</f>
        <v>0.08655358925743069</v>
      </c>
      <c r="H55" s="267">
        <f>1-G55</f>
        <v>0.9134464107425693</v>
      </c>
      <c r="I55" s="176"/>
    </row>
    <row r="56" spans="1:9" ht="15.75" thickBot="1">
      <c r="A56" s="186"/>
      <c r="B56" s="184"/>
      <c r="C56" s="250"/>
      <c r="D56" s="250"/>
      <c r="E56" s="250"/>
      <c r="F56" s="185"/>
      <c r="G56" s="266"/>
      <c r="H56" s="267"/>
      <c r="I56" s="176"/>
    </row>
    <row r="57" spans="1:9" ht="17.25" thickBot="1" thickTop="1">
      <c r="A57" s="193" t="s">
        <v>14</v>
      </c>
      <c r="B57" s="194"/>
      <c r="C57" s="252">
        <f>SUM(C52:C56)</f>
        <v>526056145.57000005</v>
      </c>
      <c r="D57" s="255">
        <f>SUM(D52:D56)</f>
        <v>46520528.88</v>
      </c>
      <c r="E57" s="299">
        <f>SUM(E52:E56)</f>
        <v>46834527.46</v>
      </c>
      <c r="F57" s="195">
        <f>(+D57-E57)/E57</f>
        <v>-0.0067044250690513575</v>
      </c>
      <c r="G57" s="275">
        <f>D57/C57</f>
        <v>0.08843263075958062</v>
      </c>
      <c r="H57" s="298">
        <f>1-G57</f>
        <v>0.9115673692404194</v>
      </c>
      <c r="I57" s="176"/>
    </row>
    <row r="58" spans="1:9" ht="15.75" thickTop="1">
      <c r="A58" s="196"/>
      <c r="B58" s="201"/>
      <c r="C58" s="254"/>
      <c r="D58" s="254"/>
      <c r="E58" s="254"/>
      <c r="F58" s="202"/>
      <c r="G58" s="273"/>
      <c r="H58" s="274"/>
      <c r="I58" s="176"/>
    </row>
    <row r="59" spans="1:9" ht="15.75">
      <c r="A59" s="183" t="s">
        <v>19</v>
      </c>
      <c r="B59" s="184">
        <f>DATE(11,7,1)</f>
        <v>4200</v>
      </c>
      <c r="C59" s="250">
        <v>207641701.35</v>
      </c>
      <c r="D59" s="250">
        <v>18805509.39</v>
      </c>
      <c r="E59" s="250">
        <v>19735116.83</v>
      </c>
      <c r="F59" s="185">
        <f>(+D59-E59)/E59</f>
        <v>-0.04710422785979513</v>
      </c>
      <c r="G59" s="266">
        <f>D59/C59</f>
        <v>0.09056711280891265</v>
      </c>
      <c r="H59" s="267">
        <f>1-G59</f>
        <v>0.9094328871910874</v>
      </c>
      <c r="I59" s="176"/>
    </row>
    <row r="60" spans="1:9" ht="15.75">
      <c r="A60" s="183"/>
      <c r="B60" s="184">
        <f>DATE(11,8,1)</f>
        <v>4231</v>
      </c>
      <c r="C60" s="250">
        <v>182449579.02</v>
      </c>
      <c r="D60" s="250">
        <v>16964842.74</v>
      </c>
      <c r="E60" s="250">
        <v>17526293.41</v>
      </c>
      <c r="F60" s="185">
        <f>(+D60-E60)/E60</f>
        <v>-0.032034763818324194</v>
      </c>
      <c r="G60" s="266">
        <f>D60/C60</f>
        <v>0.09298373189526693</v>
      </c>
      <c r="H60" s="267">
        <f>1-G60</f>
        <v>0.9070162681047331</v>
      </c>
      <c r="I60" s="176"/>
    </row>
    <row r="61" spans="1:9" ht="15.75">
      <c r="A61" s="183"/>
      <c r="B61" s="184">
        <f>DATE(11,9,1)</f>
        <v>4262</v>
      </c>
      <c r="C61" s="250">
        <v>182905905.62</v>
      </c>
      <c r="D61" s="250">
        <v>17143789.59</v>
      </c>
      <c r="E61" s="250">
        <v>17032353.79</v>
      </c>
      <c r="F61" s="185">
        <f>(+D61-E61)/E61</f>
        <v>0.006542595425972581</v>
      </c>
      <c r="G61" s="266">
        <f>D61/C61</f>
        <v>0.09373010418601485</v>
      </c>
      <c r="H61" s="267">
        <f>1-G61</f>
        <v>0.9062698958139852</v>
      </c>
      <c r="I61" s="176"/>
    </row>
    <row r="62" spans="1:9" ht="15.75">
      <c r="A62" s="183"/>
      <c r="B62" s="184">
        <f>DATE(11,10,1)</f>
        <v>4292</v>
      </c>
      <c r="C62" s="250">
        <v>183349249.23</v>
      </c>
      <c r="D62" s="250">
        <v>17374664.98</v>
      </c>
      <c r="E62" s="250">
        <v>17793518.03</v>
      </c>
      <c r="F62" s="185">
        <f>(+D62-E62)/E62</f>
        <v>-0.02353964231771432</v>
      </c>
      <c r="G62" s="266">
        <f>D62/C62</f>
        <v>0.09476267316592384</v>
      </c>
      <c r="H62" s="267">
        <f>1-G62</f>
        <v>0.9052373268340762</v>
      </c>
      <c r="I62" s="176"/>
    </row>
    <row r="63" spans="1:9" ht="16.5" thickBot="1">
      <c r="A63" s="183"/>
      <c r="B63" s="184"/>
      <c r="C63" s="250"/>
      <c r="D63" s="250"/>
      <c r="E63" s="250"/>
      <c r="F63" s="185"/>
      <c r="G63" s="266"/>
      <c r="H63" s="267"/>
      <c r="I63" s="176"/>
    </row>
    <row r="64" spans="1:9" ht="17.25" thickBot="1" thickTop="1">
      <c r="A64" s="193" t="s">
        <v>14</v>
      </c>
      <c r="B64" s="203"/>
      <c r="C64" s="252">
        <f>SUM(C59:C63)</f>
        <v>756346435.22</v>
      </c>
      <c r="D64" s="252">
        <f>SUM(D59:D63)</f>
        <v>70288806.7</v>
      </c>
      <c r="E64" s="252">
        <f>SUM(E59:E63)</f>
        <v>72087282.06</v>
      </c>
      <c r="F64" s="195">
        <f>(+D64-E64)/E64</f>
        <v>-0.02494858050693442</v>
      </c>
      <c r="G64" s="270">
        <f>D64/C64</f>
        <v>0.09293202615485978</v>
      </c>
      <c r="H64" s="271">
        <f>1-G64</f>
        <v>0.9070679738451403</v>
      </c>
      <c r="I64" s="176"/>
    </row>
    <row r="65" spans="1:9" ht="15.75" thickTop="1">
      <c r="A65" s="190"/>
      <c r="B65" s="191"/>
      <c r="C65" s="251"/>
      <c r="D65" s="251"/>
      <c r="E65" s="251"/>
      <c r="F65" s="192"/>
      <c r="G65" s="268"/>
      <c r="H65" s="269"/>
      <c r="I65" s="176"/>
    </row>
    <row r="66" spans="1:9" ht="15.75">
      <c r="A66" s="183" t="s">
        <v>63</v>
      </c>
      <c r="B66" s="184">
        <f>DATE(11,7,1)</f>
        <v>4200</v>
      </c>
      <c r="C66" s="250">
        <v>180791801.97</v>
      </c>
      <c r="D66" s="250">
        <v>15506181.83</v>
      </c>
      <c r="E66" s="250">
        <v>13265777.86</v>
      </c>
      <c r="F66" s="185">
        <f>(+D66-E66)/E66</f>
        <v>0.1688859857027638</v>
      </c>
      <c r="G66" s="266">
        <f>D66/C66</f>
        <v>0.08576816902667436</v>
      </c>
      <c r="H66" s="267">
        <f>1-G66</f>
        <v>0.9142318309733256</v>
      </c>
      <c r="I66" s="176"/>
    </row>
    <row r="67" spans="1:9" ht="15.75">
      <c r="A67" s="183"/>
      <c r="B67" s="184">
        <f>DATE(11,8,1)</f>
        <v>4231</v>
      </c>
      <c r="C67" s="250">
        <v>170669898.69</v>
      </c>
      <c r="D67" s="250">
        <v>14737130.21</v>
      </c>
      <c r="E67" s="250">
        <v>13085185.19</v>
      </c>
      <c r="F67" s="185">
        <f>(+D67-E67)/E67</f>
        <v>0.1262454444483106</v>
      </c>
      <c r="G67" s="266">
        <f>D67/C67</f>
        <v>0.08634873708320476</v>
      </c>
      <c r="H67" s="267">
        <f>1-G67</f>
        <v>0.9136512629167952</v>
      </c>
      <c r="I67" s="176"/>
    </row>
    <row r="68" spans="1:9" ht="15.75">
      <c r="A68" s="183"/>
      <c r="B68" s="184">
        <f>DATE(11,9,1)</f>
        <v>4262</v>
      </c>
      <c r="C68" s="250">
        <v>169555843.48</v>
      </c>
      <c r="D68" s="250">
        <v>14529889.4</v>
      </c>
      <c r="E68" s="250">
        <v>12780035.99</v>
      </c>
      <c r="F68" s="185">
        <f>(+D68-E68)/E68</f>
        <v>0.13692085150379926</v>
      </c>
      <c r="G68" s="266">
        <f>D68/C68</f>
        <v>0.08569382866308514</v>
      </c>
      <c r="H68" s="267">
        <f>1-G68</f>
        <v>0.9143061713369148</v>
      </c>
      <c r="I68" s="176"/>
    </row>
    <row r="69" spans="1:9" ht="15.75">
      <c r="A69" s="183"/>
      <c r="B69" s="184">
        <f>DATE(11,10,1)</f>
        <v>4292</v>
      </c>
      <c r="C69" s="250">
        <v>166541238.09</v>
      </c>
      <c r="D69" s="250">
        <v>14521857.41</v>
      </c>
      <c r="E69" s="250">
        <v>12779654.39</v>
      </c>
      <c r="F69" s="185">
        <f>(+D69-E69)/E69</f>
        <v>0.13632630170055793</v>
      </c>
      <c r="G69" s="266">
        <f>D69/C69</f>
        <v>0.08719676625768982</v>
      </c>
      <c r="H69" s="267">
        <f>1-G69</f>
        <v>0.9128032337423102</v>
      </c>
      <c r="I69" s="176"/>
    </row>
    <row r="70" spans="1:9" ht="15.75" thickBot="1">
      <c r="A70" s="186"/>
      <c r="B70" s="187"/>
      <c r="C70" s="250"/>
      <c r="D70" s="250"/>
      <c r="E70" s="250"/>
      <c r="F70" s="185"/>
      <c r="G70" s="266"/>
      <c r="H70" s="267"/>
      <c r="I70" s="176"/>
    </row>
    <row r="71" spans="1:9" ht="17.25" thickBot="1" thickTop="1">
      <c r="A71" s="193" t="s">
        <v>14</v>
      </c>
      <c r="B71" s="194"/>
      <c r="C71" s="252">
        <f>SUM(C66:C70)</f>
        <v>687558782.23</v>
      </c>
      <c r="D71" s="252">
        <f>SUM(D66:D70)</f>
        <v>59295058.849999994</v>
      </c>
      <c r="E71" s="252">
        <f>SUM(E66:E70)</f>
        <v>51910653.43</v>
      </c>
      <c r="F71" s="195">
        <f>(+D71-E71)/E71</f>
        <v>0.14225221475891553</v>
      </c>
      <c r="G71" s="275">
        <f>D71/C71</f>
        <v>0.08623998468565092</v>
      </c>
      <c r="H71" s="298">
        <f>1-G71</f>
        <v>0.913760015314349</v>
      </c>
      <c r="I71" s="176"/>
    </row>
    <row r="72" spans="1:9" ht="15.75" thickTop="1">
      <c r="A72" s="196"/>
      <c r="B72" s="197"/>
      <c r="C72" s="253"/>
      <c r="D72" s="253"/>
      <c r="E72" s="253"/>
      <c r="F72" s="198"/>
      <c r="G72" s="272"/>
      <c r="H72" s="267"/>
      <c r="I72" s="176"/>
    </row>
    <row r="73" spans="1:9" ht="15.75">
      <c r="A73" s="183" t="s">
        <v>65</v>
      </c>
      <c r="B73" s="184">
        <f>DATE(11,7,1)</f>
        <v>4200</v>
      </c>
      <c r="C73" s="250">
        <v>34791818.74</v>
      </c>
      <c r="D73" s="250">
        <v>3233712.85</v>
      </c>
      <c r="E73" s="250">
        <v>3131475.86</v>
      </c>
      <c r="F73" s="185">
        <f>(+D73-E73)/E73</f>
        <v>0.03264818078463496</v>
      </c>
      <c r="G73" s="266">
        <f>D73/C73</f>
        <v>0.09294463374178868</v>
      </c>
      <c r="H73" s="267">
        <f>1-G73</f>
        <v>0.9070553662582113</v>
      </c>
      <c r="I73" s="176"/>
    </row>
    <row r="74" spans="1:9" ht="15.75">
      <c r="A74" s="183"/>
      <c r="B74" s="184">
        <f>DATE(11,8,1)</f>
        <v>4231</v>
      </c>
      <c r="C74" s="250">
        <v>31604865.07</v>
      </c>
      <c r="D74" s="250">
        <v>2839821.65</v>
      </c>
      <c r="E74" s="250">
        <v>2832869.58</v>
      </c>
      <c r="F74" s="185">
        <f>(+D74-E74)/E74</f>
        <v>0.0024540734416724657</v>
      </c>
      <c r="G74" s="266">
        <f>D74/C74</f>
        <v>0.08985394000924302</v>
      </c>
      <c r="H74" s="267">
        <f>1-G74</f>
        <v>0.9101460599907569</v>
      </c>
      <c r="I74" s="176"/>
    </row>
    <row r="75" spans="1:9" ht="15.75">
      <c r="A75" s="183"/>
      <c r="B75" s="184">
        <f>DATE(11,9,1)</f>
        <v>4262</v>
      </c>
      <c r="C75" s="250">
        <v>31679031.03</v>
      </c>
      <c r="D75" s="250">
        <v>2911040.33</v>
      </c>
      <c r="E75" s="250">
        <v>2907032.41</v>
      </c>
      <c r="F75" s="185">
        <f>(+D75-E75)/E75</f>
        <v>0.0013786980792553068</v>
      </c>
      <c r="G75" s="266">
        <f>D75/C75</f>
        <v>0.09189170992140665</v>
      </c>
      <c r="H75" s="267">
        <f>1-G75</f>
        <v>0.9081082900785934</v>
      </c>
      <c r="I75" s="176"/>
    </row>
    <row r="76" spans="1:9" ht="15.75">
      <c r="A76" s="183"/>
      <c r="B76" s="184">
        <f>DATE(11,10,1)</f>
        <v>4292</v>
      </c>
      <c r="C76" s="250">
        <v>31680972.41</v>
      </c>
      <c r="D76" s="250">
        <v>2896008.45</v>
      </c>
      <c r="E76" s="250">
        <v>3008309.61</v>
      </c>
      <c r="F76" s="185">
        <f>(+D76-E76)/E76</f>
        <v>-0.037330319866910135</v>
      </c>
      <c r="G76" s="266">
        <f>D76/C76</f>
        <v>0.09141160228673675</v>
      </c>
      <c r="H76" s="267">
        <f>1-G76</f>
        <v>0.9085883977132633</v>
      </c>
      <c r="I76" s="176"/>
    </row>
    <row r="77" spans="1:9" ht="15.75" thickBot="1">
      <c r="A77" s="186"/>
      <c r="B77" s="187"/>
      <c r="C77" s="250"/>
      <c r="D77" s="250"/>
      <c r="E77" s="250"/>
      <c r="F77" s="185"/>
      <c r="G77" s="266"/>
      <c r="H77" s="267"/>
      <c r="I77" s="176"/>
    </row>
    <row r="78" spans="1:9" ht="17.25" thickBot="1" thickTop="1">
      <c r="A78" s="204" t="s">
        <v>14</v>
      </c>
      <c r="B78" s="205"/>
      <c r="C78" s="255">
        <f>SUM(C73:C77)</f>
        <v>129756687.25</v>
      </c>
      <c r="D78" s="255">
        <f>SUM(D73:D77)</f>
        <v>11880583.280000001</v>
      </c>
      <c r="E78" s="255">
        <f>SUM(E73:E77)</f>
        <v>11879687.459999999</v>
      </c>
      <c r="F78" s="195">
        <f>(+D78-E78)/E78</f>
        <v>7.540770773797451E-05</v>
      </c>
      <c r="G78" s="275">
        <f>D78/C78</f>
        <v>0.09156047007511747</v>
      </c>
      <c r="H78" s="271">
        <f>1-G78</f>
        <v>0.9084395299248825</v>
      </c>
      <c r="I78" s="176"/>
    </row>
    <row r="79" spans="1:9" ht="15.75" thickTop="1">
      <c r="A79" s="196"/>
      <c r="B79" s="197"/>
      <c r="C79" s="253"/>
      <c r="D79" s="253"/>
      <c r="E79" s="253"/>
      <c r="F79" s="198"/>
      <c r="G79" s="272"/>
      <c r="H79" s="267"/>
      <c r="I79" s="176"/>
    </row>
    <row r="80" spans="1:9" ht="15.75">
      <c r="A80" s="183" t="s">
        <v>43</v>
      </c>
      <c r="B80" s="184">
        <f>DATE(11,7,1)</f>
        <v>4200</v>
      </c>
      <c r="C80" s="250">
        <v>239624510</v>
      </c>
      <c r="D80" s="250">
        <v>21938101.88</v>
      </c>
      <c r="E80" s="250">
        <v>22643931.84</v>
      </c>
      <c r="F80" s="185">
        <f>(+D80-E80)/E80</f>
        <v>-0.031170821612930666</v>
      </c>
      <c r="G80" s="266">
        <f>D80/C80</f>
        <v>0.09155199474377641</v>
      </c>
      <c r="H80" s="267">
        <f>1-G80</f>
        <v>0.9084480052562236</v>
      </c>
      <c r="I80" s="176"/>
    </row>
    <row r="81" spans="1:9" ht="15.75">
      <c r="A81" s="183"/>
      <c r="B81" s="184">
        <f>DATE(11,8,1)</f>
        <v>4231</v>
      </c>
      <c r="C81" s="250">
        <v>223536251.88</v>
      </c>
      <c r="D81" s="250">
        <v>20831707.22</v>
      </c>
      <c r="E81" s="250">
        <v>20850456.42</v>
      </c>
      <c r="F81" s="185">
        <f>(+D81-E81)/E81</f>
        <v>-0.000899222521671925</v>
      </c>
      <c r="G81" s="266">
        <f>D81/C81</f>
        <v>0.09319162795653832</v>
      </c>
      <c r="H81" s="267">
        <f>1-G81</f>
        <v>0.9068083720434617</v>
      </c>
      <c r="I81" s="176"/>
    </row>
    <row r="82" spans="1:9" ht="15.75">
      <c r="A82" s="183"/>
      <c r="B82" s="184">
        <f>DATE(11,9,1)</f>
        <v>4262</v>
      </c>
      <c r="C82" s="250">
        <v>217837013.13</v>
      </c>
      <c r="D82" s="250">
        <v>20279224.57</v>
      </c>
      <c r="E82" s="250">
        <v>19669175.04</v>
      </c>
      <c r="F82" s="185">
        <f>(+D82-E82)/E82</f>
        <v>0.03101551177206877</v>
      </c>
      <c r="G82" s="266">
        <f>D82/C82</f>
        <v>0.09309356696833626</v>
      </c>
      <c r="H82" s="267">
        <f>1-G82</f>
        <v>0.9069064330316637</v>
      </c>
      <c r="I82" s="176"/>
    </row>
    <row r="83" spans="1:9" ht="15.75">
      <c r="A83" s="183"/>
      <c r="B83" s="184">
        <f>DATE(11,10,1)</f>
        <v>4292</v>
      </c>
      <c r="C83" s="250">
        <v>211774655.23</v>
      </c>
      <c r="D83" s="250">
        <v>19929857.06</v>
      </c>
      <c r="E83" s="250">
        <v>21043048.22</v>
      </c>
      <c r="F83" s="185">
        <f>(+D83-E83)/E83</f>
        <v>-0.05290066098608219</v>
      </c>
      <c r="G83" s="266">
        <f>D83/C83</f>
        <v>0.0941087923781766</v>
      </c>
      <c r="H83" s="267">
        <f>1-G83</f>
        <v>0.9058912076218234</v>
      </c>
      <c r="I83" s="176"/>
    </row>
    <row r="84" spans="1:9" ht="15.75" thickBot="1">
      <c r="A84" s="186"/>
      <c r="B84" s="187"/>
      <c r="C84" s="250"/>
      <c r="D84" s="250"/>
      <c r="E84" s="250"/>
      <c r="F84" s="185"/>
      <c r="G84" s="266"/>
      <c r="H84" s="267"/>
      <c r="I84" s="176"/>
    </row>
    <row r="85" spans="1:9" ht="17.25" thickBot="1" thickTop="1">
      <c r="A85" s="193" t="s">
        <v>14</v>
      </c>
      <c r="B85" s="194"/>
      <c r="C85" s="252">
        <f>SUM(C80:C84)</f>
        <v>892772430.24</v>
      </c>
      <c r="D85" s="252">
        <f>SUM(D80:D84)</f>
        <v>82978890.72999999</v>
      </c>
      <c r="E85" s="252">
        <f>SUM(E80:E84)</f>
        <v>84206611.52000001</v>
      </c>
      <c r="F85" s="195">
        <f>(+D85-E85)/E85</f>
        <v>-0.014579862172798915</v>
      </c>
      <c r="G85" s="270">
        <f>D85/C85</f>
        <v>0.09294517608221073</v>
      </c>
      <c r="H85" s="271">
        <f>1-G85</f>
        <v>0.9070548239177892</v>
      </c>
      <c r="I85" s="176"/>
    </row>
    <row r="86" spans="1:9" ht="15.75" thickTop="1">
      <c r="A86" s="196"/>
      <c r="B86" s="197"/>
      <c r="C86" s="253"/>
      <c r="D86" s="253"/>
      <c r="E86" s="253"/>
      <c r="F86" s="198"/>
      <c r="G86" s="272"/>
      <c r="H86" s="267"/>
      <c r="I86" s="176"/>
    </row>
    <row r="87" spans="1:9" ht="15.75">
      <c r="A87" s="183" t="s">
        <v>66</v>
      </c>
      <c r="B87" s="184">
        <f>DATE(11,7,1)</f>
        <v>4200</v>
      </c>
      <c r="C87" s="250">
        <v>0</v>
      </c>
      <c r="D87" s="250">
        <v>0</v>
      </c>
      <c r="E87" s="250">
        <v>3268643.48</v>
      </c>
      <c r="F87" s="185">
        <f>(+D87-E87)/E87</f>
        <v>-1</v>
      </c>
      <c r="G87" s="266">
        <v>0</v>
      </c>
      <c r="H87" s="267">
        <v>0</v>
      </c>
      <c r="I87" s="176"/>
    </row>
    <row r="88" spans="1:9" ht="15.75">
      <c r="A88" s="183"/>
      <c r="B88" s="184">
        <f>DATE(11,8,1)</f>
        <v>4231</v>
      </c>
      <c r="C88" s="250">
        <v>0</v>
      </c>
      <c r="D88" s="250">
        <v>0</v>
      </c>
      <c r="E88" s="250">
        <v>3051908.1</v>
      </c>
      <c r="F88" s="185">
        <f>(+D88-E88)/E88</f>
        <v>-1</v>
      </c>
      <c r="G88" s="266">
        <v>0</v>
      </c>
      <c r="H88" s="267">
        <v>0</v>
      </c>
      <c r="I88" s="176"/>
    </row>
    <row r="89" spans="1:9" ht="15.75">
      <c r="A89" s="183"/>
      <c r="B89" s="184">
        <f>DATE(11,9,1)</f>
        <v>4262</v>
      </c>
      <c r="C89" s="250">
        <v>3691783.8</v>
      </c>
      <c r="D89" s="250">
        <v>339032.27</v>
      </c>
      <c r="E89" s="250">
        <v>3070072.35</v>
      </c>
      <c r="F89" s="185">
        <f>(+D89-E89)/E89</f>
        <v>-0.889568638341699</v>
      </c>
      <c r="G89" s="266">
        <f>D89/C89</f>
        <v>0.0918342699266409</v>
      </c>
      <c r="H89" s="267">
        <f>1-G89</f>
        <v>0.9081657300733591</v>
      </c>
      <c r="I89" s="176"/>
    </row>
    <row r="90" spans="1:9" ht="15.75">
      <c r="A90" s="183"/>
      <c r="B90" s="184">
        <f>DATE(11,10,1)</f>
        <v>4292</v>
      </c>
      <c r="C90" s="250">
        <v>38084543.29</v>
      </c>
      <c r="D90" s="250">
        <v>3359957.21</v>
      </c>
      <c r="E90" s="250">
        <v>3109740.11</v>
      </c>
      <c r="F90" s="185">
        <f>(+D90-E90)/E90</f>
        <v>0.08046238307676461</v>
      </c>
      <c r="G90" s="266">
        <f>D90/C90</f>
        <v>0.08822364454826577</v>
      </c>
      <c r="H90" s="267">
        <f>1-G90</f>
        <v>0.9117763554517342</v>
      </c>
      <c r="I90" s="176"/>
    </row>
    <row r="91" spans="1:9" ht="15.75" thickBot="1">
      <c r="A91" s="186"/>
      <c r="B91" s="187"/>
      <c r="C91" s="250"/>
      <c r="D91" s="250"/>
      <c r="E91" s="250"/>
      <c r="F91" s="185"/>
      <c r="G91" s="266"/>
      <c r="H91" s="267"/>
      <c r="I91" s="176"/>
    </row>
    <row r="92" spans="1:9" ht="17.25" thickBot="1" thickTop="1">
      <c r="A92" s="188" t="s">
        <v>14</v>
      </c>
      <c r="B92" s="174"/>
      <c r="C92" s="247">
        <f>SUM(C87:C91)</f>
        <v>41776327.089999996</v>
      </c>
      <c r="D92" s="247">
        <f>SUM(D87:D91)</f>
        <v>3698989.48</v>
      </c>
      <c r="E92" s="247">
        <f>SUM(E87:E91)</f>
        <v>12500364.04</v>
      </c>
      <c r="F92" s="189">
        <f>(+D92-E92)/E92</f>
        <v>-0.7040894594618542</v>
      </c>
      <c r="G92" s="270">
        <f>D92/C92</f>
        <v>0.08854271635778693</v>
      </c>
      <c r="H92" s="271">
        <f>1-G92</f>
        <v>0.911457283642213</v>
      </c>
      <c r="I92" s="176"/>
    </row>
    <row r="93" spans="1:9" ht="16.5" thickBot="1" thickTop="1">
      <c r="A93" s="190"/>
      <c r="B93" s="191"/>
      <c r="C93" s="251"/>
      <c r="D93" s="251"/>
      <c r="E93" s="251"/>
      <c r="F93" s="192"/>
      <c r="G93" s="268"/>
      <c r="H93" s="269"/>
      <c r="I93" s="176"/>
    </row>
    <row r="94" spans="1:9" ht="17.25" thickBot="1" thickTop="1">
      <c r="A94" s="206" t="s">
        <v>44</v>
      </c>
      <c r="B94" s="174"/>
      <c r="C94" s="247">
        <f>C92+C85+C64+C50+C43+C29+C15+C36+C78+C22+C57+C71</f>
        <v>5780352628.67</v>
      </c>
      <c r="D94" s="247">
        <f>D92+D85+D64+D50+D43+D29+D15+D36+D78+D22+D57+D71</f>
        <v>530283226.85</v>
      </c>
      <c r="E94" s="247">
        <f>E92+E85+E64+E50+E43+E29+E15+E36+E78+E22+E57+E71</f>
        <v>539123605.78</v>
      </c>
      <c r="F94" s="189">
        <f>(+D94-E94)/E94</f>
        <v>-0.01639768475210755</v>
      </c>
      <c r="G94" s="261">
        <f>D94/C94</f>
        <v>0.09173890606947499</v>
      </c>
      <c r="H94" s="262">
        <f>1-G94</f>
        <v>0.908261093930525</v>
      </c>
      <c r="I94" s="176"/>
    </row>
    <row r="95" spans="1:9" ht="17.25" thickBot="1" thickTop="1">
      <c r="A95" s="206"/>
      <c r="B95" s="174"/>
      <c r="C95" s="247"/>
      <c r="D95" s="247"/>
      <c r="E95" s="247"/>
      <c r="F95" s="189"/>
      <c r="G95" s="261"/>
      <c r="H95" s="262"/>
      <c r="I95" s="176"/>
    </row>
    <row r="96" spans="1:9" ht="17.25" thickBot="1" thickTop="1">
      <c r="A96" s="206" t="s">
        <v>45</v>
      </c>
      <c r="B96" s="174"/>
      <c r="C96" s="247">
        <f>+C13+C20+C27+C34+C41+C48+C55+C62+C69+C76+C83+C90</f>
        <v>1419051003.8600001</v>
      </c>
      <c r="D96" s="247">
        <f>+D13+D20+D27+D34+D41+D48+D55+D62+D69+D76+D83+D90</f>
        <v>130940167.31</v>
      </c>
      <c r="E96" s="247">
        <f>+E13+E20+E27+E34+E41+E48+E55+E62+E69+E76+E83+E90</f>
        <v>133972768.87</v>
      </c>
      <c r="F96" s="189">
        <f>(+D96-E96)/E96</f>
        <v>-0.022635954945013314</v>
      </c>
      <c r="G96" s="261">
        <f>D96/C96</f>
        <v>0.09227305216924973</v>
      </c>
      <c r="H96" s="271">
        <f>1-G96</f>
        <v>0.9077269478307503</v>
      </c>
      <c r="I96" s="176"/>
    </row>
    <row r="97" spans="1:9" ht="16.5" thickTop="1">
      <c r="A97" s="207"/>
      <c r="B97" s="208"/>
      <c r="C97" s="256"/>
      <c r="D97" s="256"/>
      <c r="E97" s="256"/>
      <c r="F97" s="209"/>
      <c r="G97" s="276"/>
      <c r="H97" s="276"/>
      <c r="I97" s="169"/>
    </row>
    <row r="98" spans="1:9" ht="15.75">
      <c r="A98" s="282" t="s">
        <v>67</v>
      </c>
      <c r="B98" s="284"/>
      <c r="C98" s="285"/>
      <c r="D98" s="285"/>
      <c r="E98" s="285"/>
      <c r="F98" s="286"/>
      <c r="G98" s="283"/>
      <c r="H98" s="283"/>
      <c r="I98" s="169"/>
    </row>
    <row r="99" spans="1:9" ht="15.75">
      <c r="A99" s="282" t="s">
        <v>68</v>
      </c>
      <c r="B99" s="284"/>
      <c r="C99" s="285"/>
      <c r="D99" s="285"/>
      <c r="E99" s="285"/>
      <c r="F99" s="286"/>
      <c r="G99" s="283"/>
      <c r="H99" s="283"/>
      <c r="I99" s="169"/>
    </row>
    <row r="100" spans="1:9" ht="15.75">
      <c r="A100" s="282" t="s">
        <v>69</v>
      </c>
      <c r="B100" s="284"/>
      <c r="C100" s="285"/>
      <c r="D100" s="285"/>
      <c r="E100" s="285"/>
      <c r="F100" s="286"/>
      <c r="G100" s="283"/>
      <c r="H100" s="283"/>
      <c r="I100" s="169"/>
    </row>
    <row r="101" spans="1:9" ht="16.5" customHeight="1">
      <c r="A101" s="210" t="s">
        <v>55</v>
      </c>
      <c r="B101" s="211"/>
      <c r="C101" s="257"/>
      <c r="D101" s="257"/>
      <c r="E101" s="257"/>
      <c r="F101" s="212"/>
      <c r="G101" s="277"/>
      <c r="H101" s="277"/>
      <c r="I101" s="169"/>
    </row>
    <row r="102" spans="1:9" ht="15.75">
      <c r="A102" s="213"/>
      <c r="B102" s="211"/>
      <c r="C102" s="257"/>
      <c r="D102" s="257"/>
      <c r="E102" s="257"/>
      <c r="F102" s="212"/>
      <c r="G102" s="283"/>
      <c r="H102" s="283"/>
      <c r="I102" s="169"/>
    </row>
    <row r="103" spans="1:9" ht="15.75">
      <c r="A103" s="80"/>
      <c r="I103" s="169"/>
    </row>
  </sheetData>
  <printOptions horizontalCentered="1"/>
  <pageMargins left="0.75" right="0.25" top="0.3194" bottom="0.2" header="0.5" footer="0.5"/>
  <pageSetup horizontalDpi="600" verticalDpi="600" orientation="landscape" scale="63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Staff</cp:lastModifiedBy>
  <cp:lastPrinted>2011-11-09T15:07:35Z</cp:lastPrinted>
  <dcterms:created xsi:type="dcterms:W3CDTF">2003-09-09T14:41:43Z</dcterms:created>
  <dcterms:modified xsi:type="dcterms:W3CDTF">2011-11-09T15:45:29Z</dcterms:modified>
  <cp:category/>
  <cp:version/>
  <cp:contentType/>
  <cp:contentStatus/>
</cp:coreProperties>
</file>