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STATS'!$A$1:$M$182</definedName>
    <definedName name="_xlnm.Print_Area" localSheetId="3">'SLOT STATS'!$A$1:$I$183</definedName>
    <definedName name="_xlnm.Print_Area" localSheetId="2">'TABLE STATS'!$A$1:$H$182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<sst xmlns="http://schemas.openxmlformats.org/spreadsheetml/2006/main" count="207" uniqueCount="82">
  <si>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</si>
  <si>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</si>
  <si>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</si>
  <si>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</si>
  <si>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</si>
  <si>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</si>
  <si>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</si>
  <si>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</si>
  <si>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</si>
  <si>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</si>
  <si>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</si>
  <si>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</si>
  <si>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</si>
  <si>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</si>
  <si>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</si>
  <si>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</si>
  <si>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</si>
  <si>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</si>
  <si>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</si>
  <si>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</si>
  <si>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</si>
  <si>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</si>
  <si>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</si>
  <si>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</si>
  <si>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</si>
  <si>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</si>
  <si>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</si>
  <si>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</si>
  <si>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</si>
  <si>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</si>
  <si>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</si>
  <si>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</si>
  <si>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</si>
  <si>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</si>
  <si>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</si>
  <si>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</si>
  <si>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</si>
  <si>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</si>
  <si>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</si>
  <si>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</si>
  <si>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</si>
  <si>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</si>
  <si>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</si>
  <si>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</si>
  <si>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</si>
  <si>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</si>
  <si>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</si>
  <si>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</si>
  <si>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</si>
  <si>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</si>
  <si>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</si>
  <si>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</si>
  <si>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</si>
  <si>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</si>
  <si>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</si>
  <si>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</si>
  <si>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</si>
  <si>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</si>
  <si>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</si>
  <si>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RIVER CITY </t>
  </si>
  <si>
    <t xml:space="preserve">MARK TWAIN </t>
  </si>
  <si>
    <t xml:space="preserve">IOC - LADY LUCK </t>
  </si>
  <si>
    <t xml:space="preserve">FISCAL 2013 YTD ADMISSIONS, PATRONS AND AGR SUMMARY </t>
  </si>
  <si>
    <t>IOC - CAPE GIRARDEAU</t>
  </si>
  <si>
    <t>ST. JO FRONTIER**</t>
  </si>
  <si>
    <t>** St. Jo Frontier boat closure 6/28/11 through 9/28/11 due to flooding.</t>
  </si>
  <si>
    <t>* Isle Of Capri - Cape Girardeau opened 10/30/12.</t>
  </si>
  <si>
    <t>IOC - CAPE GIRARDEAU *</t>
  </si>
  <si>
    <t xml:space="preserve"> Isle Of Capri - Cape Girardeau opened 10/30/12.</t>
  </si>
  <si>
    <t xml:space="preserve"> St. Jo Frontier boat closure 6/28/11 through 9/28/11 due to flooding.</t>
  </si>
  <si>
    <t>ST. JO FRONTIER **</t>
  </si>
  <si>
    <t>*** Harrah's MH was purchased by Penn and rebranded as Hollywood Casino 11/2/12.</t>
  </si>
  <si>
    <t>HARRAHS MH/HOLLYWOOD ***</t>
  </si>
  <si>
    <t>HARRAHS MH/</t>
  </si>
  <si>
    <t xml:space="preserve">   HOLLYWOOD ***</t>
  </si>
  <si>
    <t>HOLLYWOOD</t>
  </si>
  <si>
    <t>MONTH ENDED:   APRIL 30, 2013</t>
  </si>
  <si>
    <t>(as reported on the tax remittal database dtd 5/9/13)</t>
  </si>
  <si>
    <t>FOR THE MONTH ENDED:   APRIL 30, 2013</t>
  </si>
  <si>
    <t>THRU MONTH ENDED:   APRIL 30, 2013</t>
  </si>
  <si>
    <t>(as reported on the tax remittal database as of 5/9/13)</t>
  </si>
  <si>
    <t>THRU MONTH ENDED:     APRIL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</si>
</sst>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  <xf numFmtId="166" fontId="10" fillId="33" borderId="13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showOutlineSymbols="0" zoomScalePageLayoutView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3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6"/>
      <c r="L1" s="196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6"/>
      <c r="L2" s="196"/>
      <c r="M2" s="2"/>
      <c r="N2" s="2"/>
      <c r="O2" s="2"/>
      <c r="P2" s="2"/>
      <c r="Q2" s="2"/>
      <c r="R2" s="2"/>
    </row>
    <row r="3" spans="1:18" ht="18">
      <c r="A3" s="285" t="s">
        <v>76</v>
      </c>
      <c r="B3" s="2"/>
      <c r="C3" s="2"/>
      <c r="D3" s="2"/>
      <c r="E3" s="2"/>
      <c r="F3" s="2"/>
      <c r="G3" s="2"/>
      <c r="H3" s="2"/>
      <c r="I3" s="2"/>
      <c r="J3" s="2"/>
      <c r="K3" s="196"/>
      <c r="L3" s="196"/>
      <c r="M3" s="2"/>
      <c r="N3" s="2"/>
      <c r="O3" s="2"/>
      <c r="P3" s="2"/>
      <c r="Q3" s="2"/>
      <c r="R3" s="2"/>
    </row>
    <row r="4" spans="1:18" ht="15">
      <c r="A4" s="286" t="s">
        <v>77</v>
      </c>
      <c r="B4" s="2"/>
      <c r="C4" s="2"/>
      <c r="D4" s="2"/>
      <c r="E4" s="2"/>
      <c r="F4" s="2"/>
      <c r="G4" s="2"/>
      <c r="H4" s="2"/>
      <c r="I4" s="2"/>
      <c r="J4" s="2"/>
      <c r="K4" s="196"/>
      <c r="L4" s="196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6"/>
      <c r="L5" s="196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7" t="s">
        <v>1</v>
      </c>
      <c r="L6" s="197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8" t="s">
        <v>12</v>
      </c>
      <c r="L7" s="198" t="s">
        <v>12</v>
      </c>
      <c r="M7" s="14" t="s">
        <v>8</v>
      </c>
      <c r="N7" s="10"/>
      <c r="R7" s="2"/>
    </row>
    <row r="8" spans="1:18" ht="16.5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9"/>
      <c r="L8" s="199"/>
      <c r="M8" s="18"/>
      <c r="N8" s="10"/>
      <c r="R8" s="2"/>
    </row>
    <row r="9" spans="1:18" ht="15.75">
      <c r="A9" s="19" t="s">
        <v>13</v>
      </c>
      <c r="B9" s="20">
        <f>DATE(2012,7,1)</f>
        <v>41091</v>
      </c>
      <c r="C9" s="21">
        <v>338988</v>
      </c>
      <c r="D9" s="22">
        <v>473471</v>
      </c>
      <c r="E9" s="23">
        <f aca="true" t="shared" si="0" ref="E9:E18">(+C9-D9)/D9</f>
        <v>-0.2840364034967295</v>
      </c>
      <c r="F9" s="21">
        <f>+C9-174588</f>
        <v>164400</v>
      </c>
      <c r="G9" s="21">
        <f>+D9-250515</f>
        <v>222956</v>
      </c>
      <c r="H9" s="23">
        <f aca="true" t="shared" si="1" ref="H9:H18">(+F9-G9)/G9</f>
        <v>-0.26263477995658335</v>
      </c>
      <c r="I9" s="24">
        <f aca="true" t="shared" si="2" ref="I9:I18">K9/C9</f>
        <v>37.416871541175496</v>
      </c>
      <c r="J9" s="24">
        <f aca="true" t="shared" si="3" ref="J9:J18">K9/F9</f>
        <v>77.1524966545012</v>
      </c>
      <c r="K9" s="21">
        <v>12683870.45</v>
      </c>
      <c r="L9" s="21">
        <v>16724883.13</v>
      </c>
      <c r="M9" s="25">
        <f aca="true" t="shared" si="4" ref="M9:M18">(+K9-L9)/L9</f>
        <v>-0.2416167962783248</v>
      </c>
      <c r="N9" s="10"/>
      <c r="R9" s="2"/>
    </row>
    <row r="10" spans="1:18" ht="15.75">
      <c r="A10" s="19"/>
      <c r="B10" s="20">
        <f>DATE(2012,8,1)</f>
        <v>41122</v>
      </c>
      <c r="C10" s="21">
        <v>343379</v>
      </c>
      <c r="D10" s="22">
        <v>436324</v>
      </c>
      <c r="E10" s="23">
        <f t="shared" si="0"/>
        <v>-0.21301830749626424</v>
      </c>
      <c r="F10" s="21">
        <f>+C10-179004</f>
        <v>164375</v>
      </c>
      <c r="G10" s="21">
        <f>+D10-229479</f>
        <v>206845</v>
      </c>
      <c r="H10" s="23">
        <f t="shared" si="1"/>
        <v>-0.20532282627087917</v>
      </c>
      <c r="I10" s="24">
        <f t="shared" si="2"/>
        <v>37.46781043686422</v>
      </c>
      <c r="J10" s="24">
        <f t="shared" si="3"/>
        <v>78.27017052471483</v>
      </c>
      <c r="K10" s="21">
        <v>12865659.28</v>
      </c>
      <c r="L10" s="21">
        <v>16117447.83</v>
      </c>
      <c r="M10" s="25">
        <f t="shared" si="4"/>
        <v>-0.2017557980828284</v>
      </c>
      <c r="N10" s="10"/>
      <c r="R10" s="2"/>
    </row>
    <row r="11" spans="1:18" ht="15.75">
      <c r="A11" s="19"/>
      <c r="B11" s="20">
        <f>DATE(2012,9,1)</f>
        <v>41153</v>
      </c>
      <c r="C11" s="21">
        <v>332134</v>
      </c>
      <c r="D11" s="22">
        <v>429086</v>
      </c>
      <c r="E11" s="23">
        <f t="shared" si="0"/>
        <v>-0.225950042648793</v>
      </c>
      <c r="F11" s="21">
        <f>+C11-170308</f>
        <v>161826</v>
      </c>
      <c r="G11" s="21">
        <f>+D11-225907</f>
        <v>203179</v>
      </c>
      <c r="H11" s="23">
        <f t="shared" si="1"/>
        <v>-0.20352989236092311</v>
      </c>
      <c r="I11" s="24">
        <f t="shared" si="2"/>
        <v>38.227643390920534</v>
      </c>
      <c r="J11" s="24">
        <f t="shared" si="3"/>
        <v>78.45896277483223</v>
      </c>
      <c r="K11" s="21">
        <v>12696700.11</v>
      </c>
      <c r="L11" s="21">
        <v>15762092.18</v>
      </c>
      <c r="M11" s="25">
        <f t="shared" si="4"/>
        <v>-0.1944787554211601</v>
      </c>
      <c r="N11" s="10"/>
      <c r="R11" s="2"/>
    </row>
    <row r="12" spans="1:18" ht="15.75">
      <c r="A12" s="19"/>
      <c r="B12" s="20">
        <f>DATE(2012,10,1)</f>
        <v>41183</v>
      </c>
      <c r="C12" s="21">
        <v>328078</v>
      </c>
      <c r="D12" s="22">
        <v>424747</v>
      </c>
      <c r="E12" s="23">
        <f t="shared" si="0"/>
        <v>-0.22759195474011587</v>
      </c>
      <c r="F12" s="21">
        <f>+C12-172329</f>
        <v>155749</v>
      </c>
      <c r="G12" s="21">
        <f>+D12-223781</f>
        <v>200966</v>
      </c>
      <c r="H12" s="23">
        <f t="shared" si="1"/>
        <v>-0.22499825841187066</v>
      </c>
      <c r="I12" s="24">
        <f t="shared" si="2"/>
        <v>37.180048250720866</v>
      </c>
      <c r="J12" s="24">
        <f t="shared" si="3"/>
        <v>78.31803652029868</v>
      </c>
      <c r="K12" s="21">
        <v>12197955.87</v>
      </c>
      <c r="L12" s="21">
        <v>15786768.52</v>
      </c>
      <c r="M12" s="25">
        <f t="shared" si="4"/>
        <v>-0.22733041568661708</v>
      </c>
      <c r="N12" s="10"/>
      <c r="R12" s="2"/>
    </row>
    <row r="13" spans="1:18" ht="15.75">
      <c r="A13" s="19"/>
      <c r="B13" s="20">
        <f>DATE(2012,11,1)</f>
        <v>41214</v>
      </c>
      <c r="C13" s="21">
        <v>321761</v>
      </c>
      <c r="D13" s="22">
        <v>416167</v>
      </c>
      <c r="E13" s="23">
        <f t="shared" si="0"/>
        <v>-0.22684643424394535</v>
      </c>
      <c r="F13" s="21">
        <f>+C13-166804</f>
        <v>154957</v>
      </c>
      <c r="G13" s="21">
        <f>+D13-220681</f>
        <v>195486</v>
      </c>
      <c r="H13" s="23">
        <f t="shared" si="1"/>
        <v>-0.20732430966923462</v>
      </c>
      <c r="I13" s="24">
        <f t="shared" si="2"/>
        <v>37.47719061663781</v>
      </c>
      <c r="J13" s="24">
        <f t="shared" si="3"/>
        <v>77.81964241692857</v>
      </c>
      <c r="K13" s="21">
        <v>12058698.33</v>
      </c>
      <c r="L13" s="21">
        <v>15607404.28</v>
      </c>
      <c r="M13" s="25">
        <f t="shared" si="4"/>
        <v>-0.22737323172614066</v>
      </c>
      <c r="N13" s="10"/>
      <c r="R13" s="2"/>
    </row>
    <row r="14" spans="1:18" ht="15.75">
      <c r="A14" s="19"/>
      <c r="B14" s="20">
        <f>DATE(2012,12,1)</f>
        <v>41244</v>
      </c>
      <c r="C14" s="21">
        <v>338330</v>
      </c>
      <c r="D14" s="22">
        <v>458367</v>
      </c>
      <c r="E14" s="23">
        <f t="shared" si="0"/>
        <v>-0.26187967283857694</v>
      </c>
      <c r="F14" s="21">
        <f>+C14-177692</f>
        <v>160638</v>
      </c>
      <c r="G14" s="21">
        <f>+D14-242651</f>
        <v>215716</v>
      </c>
      <c r="H14" s="23">
        <f t="shared" si="1"/>
        <v>-0.25532644773683916</v>
      </c>
      <c r="I14" s="24">
        <f t="shared" si="2"/>
        <v>37.77258224218958</v>
      </c>
      <c r="J14" s="24">
        <f t="shared" si="3"/>
        <v>79.55525934087825</v>
      </c>
      <c r="K14" s="21">
        <v>12779597.75</v>
      </c>
      <c r="L14" s="21">
        <v>16705681.64</v>
      </c>
      <c r="M14" s="25">
        <f t="shared" si="4"/>
        <v>-0.2350148874260482</v>
      </c>
      <c r="N14" s="10"/>
      <c r="R14" s="2"/>
    </row>
    <row r="15" spans="1:18" ht="15.75">
      <c r="A15" s="19"/>
      <c r="B15" s="20">
        <f>DATE(2013,1,1)</f>
        <v>41275</v>
      </c>
      <c r="C15" s="21">
        <v>326103</v>
      </c>
      <c r="D15" s="22">
        <v>440582</v>
      </c>
      <c r="E15" s="23">
        <f t="shared" si="0"/>
        <v>-0.2598358534847089</v>
      </c>
      <c r="F15" s="21">
        <f>+C15-171123</f>
        <v>154980</v>
      </c>
      <c r="G15" s="21">
        <f>+D15-236255</f>
        <v>204327</v>
      </c>
      <c r="H15" s="23">
        <f t="shared" si="1"/>
        <v>-0.24150993260802536</v>
      </c>
      <c r="I15" s="24">
        <f t="shared" si="2"/>
        <v>37.65535741774838</v>
      </c>
      <c r="J15" s="24">
        <f t="shared" si="3"/>
        <v>79.23296567299006</v>
      </c>
      <c r="K15" s="21">
        <v>12279525.02</v>
      </c>
      <c r="L15" s="21">
        <v>15852043.61</v>
      </c>
      <c r="M15" s="25">
        <f t="shared" si="4"/>
        <v>-0.22536643715428184</v>
      </c>
      <c r="N15" s="10"/>
      <c r="R15" s="2"/>
    </row>
    <row r="16" spans="1:18" ht="15.75">
      <c r="A16" s="19"/>
      <c r="B16" s="20">
        <f>DATE(2013,2,1)</f>
        <v>41306</v>
      </c>
      <c r="C16" s="21">
        <v>310741</v>
      </c>
      <c r="D16" s="22">
        <v>373678</v>
      </c>
      <c r="E16" s="23">
        <f t="shared" si="0"/>
        <v>-0.16842575693511527</v>
      </c>
      <c r="F16" s="21">
        <f>+C16-161070</f>
        <v>149671</v>
      </c>
      <c r="G16" s="21">
        <f>+D16-194734</f>
        <v>178944</v>
      </c>
      <c r="H16" s="23">
        <f t="shared" si="1"/>
        <v>-0.16358749105865522</v>
      </c>
      <c r="I16" s="24">
        <f t="shared" si="2"/>
        <v>40.16548794655356</v>
      </c>
      <c r="J16" s="24">
        <f t="shared" si="3"/>
        <v>83.38999465494318</v>
      </c>
      <c r="K16" s="21">
        <v>12481063.89</v>
      </c>
      <c r="L16" s="21">
        <v>14709132.64</v>
      </c>
      <c r="M16" s="25">
        <f t="shared" si="4"/>
        <v>-0.15147519602488266</v>
      </c>
      <c r="N16" s="10"/>
      <c r="R16" s="2"/>
    </row>
    <row r="17" spans="1:18" ht="15.75">
      <c r="A17" s="19"/>
      <c r="B17" s="20">
        <f>DATE(2013,3,1)</f>
        <v>41334</v>
      </c>
      <c r="C17" s="21">
        <v>350213</v>
      </c>
      <c r="D17" s="22">
        <v>356956</v>
      </c>
      <c r="E17" s="23">
        <f t="shared" si="0"/>
        <v>-0.01889028339627293</v>
      </c>
      <c r="F17" s="21">
        <f>+C17-178302</f>
        <v>171911</v>
      </c>
      <c r="G17" s="21">
        <f>+D17-189240</f>
        <v>167716</v>
      </c>
      <c r="H17" s="23">
        <f t="shared" si="1"/>
        <v>0.02501252116673424</v>
      </c>
      <c r="I17" s="24">
        <f t="shared" si="2"/>
        <v>41.53938197611168</v>
      </c>
      <c r="J17" s="24">
        <f t="shared" si="3"/>
        <v>84.62304087580202</v>
      </c>
      <c r="K17" s="21">
        <v>14547631.58</v>
      </c>
      <c r="L17" s="21">
        <v>14014005.53</v>
      </c>
      <c r="M17" s="25">
        <f t="shared" si="4"/>
        <v>0.03807805333440601</v>
      </c>
      <c r="N17" s="10"/>
      <c r="R17" s="2"/>
    </row>
    <row r="18" spans="1:18" ht="15.75">
      <c r="A18" s="19"/>
      <c r="B18" s="20">
        <f>DATE(2013,4,1)</f>
        <v>41365</v>
      </c>
      <c r="C18" s="21">
        <v>309819</v>
      </c>
      <c r="D18" s="22">
        <v>322240</v>
      </c>
      <c r="E18" s="23">
        <f t="shared" si="0"/>
        <v>-0.0385458043694141</v>
      </c>
      <c r="F18" s="21">
        <f>+C18-153057</f>
        <v>156762</v>
      </c>
      <c r="G18" s="21">
        <f>+D18-169792</f>
        <v>152448</v>
      </c>
      <c r="H18" s="23">
        <f t="shared" si="1"/>
        <v>0.02829817380352645</v>
      </c>
      <c r="I18" s="24">
        <f t="shared" si="2"/>
        <v>41.38823755160271</v>
      </c>
      <c r="J18" s="24">
        <f t="shared" si="3"/>
        <v>81.7982825557214</v>
      </c>
      <c r="K18" s="21">
        <v>12822862.37</v>
      </c>
      <c r="L18" s="21">
        <v>12447566.99</v>
      </c>
      <c r="M18" s="25">
        <f t="shared" si="4"/>
        <v>0.030150099236380887</v>
      </c>
      <c r="N18" s="10"/>
      <c r="R18" s="2"/>
    </row>
    <row r="19" spans="1:18" ht="16.5" thickBot="1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Bot="1" thickTop="1">
      <c r="A20" s="26" t="s">
        <v>14</v>
      </c>
      <c r="B20" s="27"/>
      <c r="C20" s="28">
        <f>SUM(C9:C19)</f>
        <v>3299546</v>
      </c>
      <c r="D20" s="28">
        <f>SUM(D9:D19)</f>
        <v>4131618</v>
      </c>
      <c r="E20" s="29">
        <f>(+C20-D20)/D20</f>
        <v>-0.20139131933300708</v>
      </c>
      <c r="F20" s="28">
        <f>SUM(F9:F19)</f>
        <v>1595269</v>
      </c>
      <c r="G20" s="28">
        <f>SUM(G9:G19)</f>
        <v>1948583</v>
      </c>
      <c r="H20" s="30">
        <f>(+F20-G20)/G20</f>
        <v>-0.18131842472196463</v>
      </c>
      <c r="I20" s="31">
        <f>K20/C20</f>
        <v>38.61548366047935</v>
      </c>
      <c r="J20" s="31">
        <f>K20/F20</f>
        <v>79.86964245528496</v>
      </c>
      <c r="K20" s="28">
        <f>SUM(K9:K19)</f>
        <v>127413564.64999999</v>
      </c>
      <c r="L20" s="28">
        <f>SUM(L9:L19)</f>
        <v>153727026.35</v>
      </c>
      <c r="M20" s="32">
        <f>(+K20-L20)/L20</f>
        <v>-0.17117004293110105</v>
      </c>
      <c r="N20" s="10"/>
      <c r="R20" s="2"/>
    </row>
    <row r="21" spans="1:18" ht="16.5" thickTop="1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9"/>
      <c r="L21" s="199"/>
      <c r="M21" s="18"/>
      <c r="N21" s="10"/>
      <c r="R21" s="2"/>
    </row>
    <row r="22" spans="1:18" ht="15.75">
      <c r="A22" s="19" t="s">
        <v>15</v>
      </c>
      <c r="B22" s="20">
        <f>DATE(2012,7,1)</f>
        <v>41091</v>
      </c>
      <c r="C22" s="21">
        <v>205569</v>
      </c>
      <c r="D22" s="21">
        <v>205074</v>
      </c>
      <c r="E22" s="23">
        <f aca="true" t="shared" si="5" ref="E22:E31">(+C22-D22)/D22</f>
        <v>0.0024137628368296324</v>
      </c>
      <c r="F22" s="21">
        <f>+C22-99777</f>
        <v>105792</v>
      </c>
      <c r="G22" s="21">
        <f>+D22-101149</f>
        <v>103925</v>
      </c>
      <c r="H22" s="23">
        <f aca="true" t="shared" si="6" ref="H22:H31">(+F22-G22)/G22</f>
        <v>0.017964878518162135</v>
      </c>
      <c r="I22" s="24">
        <f aca="true" t="shared" si="7" ref="I22:I31">K22/C22</f>
        <v>36.15175177191114</v>
      </c>
      <c r="J22" s="24">
        <f aca="true" t="shared" si="8" ref="J22:J31">K22/F22</f>
        <v>70.24802877344223</v>
      </c>
      <c r="K22" s="21">
        <v>7431679.46</v>
      </c>
      <c r="L22" s="21">
        <v>7527062.22</v>
      </c>
      <c r="M22" s="25">
        <f aca="true" t="shared" si="9" ref="M22:M31">(+K22-L22)/L22</f>
        <v>-0.012671977089090647</v>
      </c>
      <c r="N22" s="10"/>
      <c r="R22" s="2"/>
    </row>
    <row r="23" spans="1:18" ht="15.75">
      <c r="A23" s="19"/>
      <c r="B23" s="20">
        <f>DATE(2012,8,1)</f>
        <v>41122</v>
      </c>
      <c r="C23" s="21">
        <v>196385</v>
      </c>
      <c r="D23" s="21">
        <v>186632</v>
      </c>
      <c r="E23" s="23">
        <f t="shared" si="5"/>
        <v>0.05225791932787518</v>
      </c>
      <c r="F23" s="21">
        <f>+C23-96702</f>
        <v>99683</v>
      </c>
      <c r="G23" s="21">
        <f>+D23-90725</f>
        <v>95907</v>
      </c>
      <c r="H23" s="23">
        <f t="shared" si="6"/>
        <v>0.039371474449206</v>
      </c>
      <c r="I23" s="24">
        <f t="shared" si="7"/>
        <v>37.50963057259974</v>
      </c>
      <c r="J23" s="24">
        <f t="shared" si="8"/>
        <v>73.89754321198198</v>
      </c>
      <c r="K23" s="21">
        <v>7366328.8</v>
      </c>
      <c r="L23" s="21">
        <v>6944808.9</v>
      </c>
      <c r="M23" s="25">
        <f t="shared" si="9"/>
        <v>0.06069568019359027</v>
      </c>
      <c r="N23" s="10"/>
      <c r="R23" s="2"/>
    </row>
    <row r="24" spans="1:18" ht="15.75">
      <c r="A24" s="19"/>
      <c r="B24" s="20">
        <f>DATE(2012,9,1)</f>
        <v>41153</v>
      </c>
      <c r="C24" s="21">
        <v>186040</v>
      </c>
      <c r="D24" s="21">
        <v>178911</v>
      </c>
      <c r="E24" s="23">
        <f t="shared" si="5"/>
        <v>0.03984662765285533</v>
      </c>
      <c r="F24" s="21">
        <f>+C24-92289</f>
        <v>93751</v>
      </c>
      <c r="G24" s="21">
        <f>+D24-86413</f>
        <v>92498</v>
      </c>
      <c r="H24" s="23">
        <f t="shared" si="6"/>
        <v>0.013546238837596489</v>
      </c>
      <c r="I24" s="24">
        <f t="shared" si="7"/>
        <v>37.589800849279726</v>
      </c>
      <c r="J24" s="24">
        <f t="shared" si="8"/>
        <v>74.59340753698628</v>
      </c>
      <c r="K24" s="21">
        <v>6993206.55</v>
      </c>
      <c r="L24" s="21">
        <v>6868142.08</v>
      </c>
      <c r="M24" s="25">
        <f t="shared" si="9"/>
        <v>0.018209359757449826</v>
      </c>
      <c r="N24" s="10"/>
      <c r="R24" s="2"/>
    </row>
    <row r="25" spans="1:18" ht="15.75">
      <c r="A25" s="19"/>
      <c r="B25" s="20">
        <f>DATE(2012,10,1)</f>
        <v>41183</v>
      </c>
      <c r="C25" s="21">
        <v>169773</v>
      </c>
      <c r="D25" s="21">
        <v>175552</v>
      </c>
      <c r="E25" s="23">
        <f t="shared" si="5"/>
        <v>-0.032919021144732045</v>
      </c>
      <c r="F25" s="21">
        <f>+C25-83037</f>
        <v>86736</v>
      </c>
      <c r="G25" s="21">
        <f>+D25-85872</f>
        <v>89680</v>
      </c>
      <c r="H25" s="23">
        <f t="shared" si="6"/>
        <v>-0.03282783229259589</v>
      </c>
      <c r="I25" s="24">
        <f t="shared" si="7"/>
        <v>38.89856914821556</v>
      </c>
      <c r="J25" s="24">
        <f t="shared" si="8"/>
        <v>76.1382445581996</v>
      </c>
      <c r="K25" s="21">
        <v>6603926.78</v>
      </c>
      <c r="L25" s="21">
        <v>6646747.91</v>
      </c>
      <c r="M25" s="25">
        <f t="shared" si="9"/>
        <v>-0.006442418244202658</v>
      </c>
      <c r="N25" s="10"/>
      <c r="R25" s="2"/>
    </row>
    <row r="26" spans="1:18" ht="15.75">
      <c r="A26" s="19"/>
      <c r="B26" s="20">
        <f>DATE(2012,11,1)</f>
        <v>41214</v>
      </c>
      <c r="C26" s="21">
        <v>166841</v>
      </c>
      <c r="D26" s="21">
        <v>160778</v>
      </c>
      <c r="E26" s="23">
        <f t="shared" si="5"/>
        <v>0.037710383261391485</v>
      </c>
      <c r="F26" s="21">
        <f>+C26-82575</f>
        <v>84266</v>
      </c>
      <c r="G26" s="21">
        <f>+D26-78418</f>
        <v>82360</v>
      </c>
      <c r="H26" s="23">
        <f t="shared" si="6"/>
        <v>0.023142302088392422</v>
      </c>
      <c r="I26" s="24">
        <f t="shared" si="7"/>
        <v>38.68169832355357</v>
      </c>
      <c r="J26" s="24">
        <f t="shared" si="8"/>
        <v>76.58715531768448</v>
      </c>
      <c r="K26" s="21">
        <v>6453693.23</v>
      </c>
      <c r="L26" s="21">
        <v>6400904.37</v>
      </c>
      <c r="M26" s="25">
        <f t="shared" si="9"/>
        <v>0.00824709399618797</v>
      </c>
      <c r="N26" s="10"/>
      <c r="R26" s="2"/>
    </row>
    <row r="27" spans="1:18" ht="15.75">
      <c r="A27" s="19"/>
      <c r="B27" s="20">
        <f>DATE(2012,12,1)</f>
        <v>41244</v>
      </c>
      <c r="C27" s="21">
        <v>163729</v>
      </c>
      <c r="D27" s="21">
        <v>171644</v>
      </c>
      <c r="E27" s="23">
        <f t="shared" si="5"/>
        <v>-0.04611288480809116</v>
      </c>
      <c r="F27" s="21">
        <f>+C27-82686</f>
        <v>81043</v>
      </c>
      <c r="G27" s="21">
        <f>+D27-84933</f>
        <v>86711</v>
      </c>
      <c r="H27" s="23">
        <f t="shared" si="6"/>
        <v>-0.06536656248918822</v>
      </c>
      <c r="I27" s="24">
        <f t="shared" si="7"/>
        <v>41.58841585791155</v>
      </c>
      <c r="J27" s="24">
        <f t="shared" si="8"/>
        <v>84.01996150191874</v>
      </c>
      <c r="K27" s="21">
        <v>6809229.74</v>
      </c>
      <c r="L27" s="21">
        <v>6826343.54</v>
      </c>
      <c r="M27" s="25">
        <f t="shared" si="9"/>
        <v>-0.0025070229618124103</v>
      </c>
      <c r="N27" s="10"/>
      <c r="R27" s="2"/>
    </row>
    <row r="28" spans="1:18" ht="15.75">
      <c r="A28" s="19"/>
      <c r="B28" s="20">
        <f>DATE(2013,1,1)</f>
        <v>41275</v>
      </c>
      <c r="C28" s="21">
        <v>160327</v>
      </c>
      <c r="D28" s="21">
        <v>173970</v>
      </c>
      <c r="E28" s="23">
        <f t="shared" si="5"/>
        <v>-0.07842156693682818</v>
      </c>
      <c r="F28" s="21">
        <f>+C28-79961</f>
        <v>80366</v>
      </c>
      <c r="G28" s="21">
        <f>+D28-85943</f>
        <v>88027</v>
      </c>
      <c r="H28" s="23">
        <f t="shared" si="6"/>
        <v>-0.0870301157599373</v>
      </c>
      <c r="I28" s="24">
        <f t="shared" si="7"/>
        <v>38.87250937147205</v>
      </c>
      <c r="J28" s="24">
        <f t="shared" si="8"/>
        <v>77.54912288778836</v>
      </c>
      <c r="K28" s="21">
        <v>6232312.81</v>
      </c>
      <c r="L28" s="21">
        <v>6840994.11</v>
      </c>
      <c r="M28" s="25">
        <f t="shared" si="9"/>
        <v>-0.08897556264669854</v>
      </c>
      <c r="N28" s="10"/>
      <c r="R28" s="2"/>
    </row>
    <row r="29" spans="1:18" ht="15.75">
      <c r="A29" s="19"/>
      <c r="B29" s="20">
        <f>DATE(2013,2,1)</f>
        <v>41306</v>
      </c>
      <c r="C29" s="21">
        <v>160380</v>
      </c>
      <c r="D29" s="21">
        <v>192950</v>
      </c>
      <c r="E29" s="23">
        <f t="shared" si="5"/>
        <v>-0.16880020730759265</v>
      </c>
      <c r="F29" s="21">
        <f>+C29-80314</f>
        <v>80066</v>
      </c>
      <c r="G29" s="21">
        <f>+D29-95302</f>
        <v>97648</v>
      </c>
      <c r="H29" s="23">
        <f t="shared" si="6"/>
        <v>-0.18005489103719483</v>
      </c>
      <c r="I29" s="24">
        <f t="shared" si="7"/>
        <v>39.87224229953859</v>
      </c>
      <c r="J29" s="24">
        <f t="shared" si="8"/>
        <v>79.86798666100466</v>
      </c>
      <c r="K29" s="21">
        <v>6394710.22</v>
      </c>
      <c r="L29" s="21">
        <v>7503405.03</v>
      </c>
      <c r="M29" s="25">
        <f t="shared" si="9"/>
        <v>-0.1477588915388725</v>
      </c>
      <c r="N29" s="10"/>
      <c r="R29" s="2"/>
    </row>
    <row r="30" spans="1:18" ht="15.75">
      <c r="A30" s="19"/>
      <c r="B30" s="20">
        <f>DATE(2013,3,1)</f>
        <v>41334</v>
      </c>
      <c r="C30" s="21">
        <v>188868</v>
      </c>
      <c r="D30" s="21">
        <v>205972</v>
      </c>
      <c r="E30" s="23">
        <f t="shared" si="5"/>
        <v>-0.08304041326005476</v>
      </c>
      <c r="F30" s="21">
        <f>+C30-94973</f>
        <v>93895</v>
      </c>
      <c r="G30" s="21">
        <f>+D30-102346</f>
        <v>103626</v>
      </c>
      <c r="H30" s="23">
        <f t="shared" si="6"/>
        <v>-0.09390500453554128</v>
      </c>
      <c r="I30" s="24">
        <f t="shared" si="7"/>
        <v>40.266912235000106</v>
      </c>
      <c r="J30" s="24">
        <f t="shared" si="8"/>
        <v>80.99612524628574</v>
      </c>
      <c r="K30" s="21">
        <v>7605131.18</v>
      </c>
      <c r="L30" s="21">
        <v>7853148.54</v>
      </c>
      <c r="M30" s="25">
        <f t="shared" si="9"/>
        <v>-0.031581901034562675</v>
      </c>
      <c r="N30" s="10"/>
      <c r="R30" s="2"/>
    </row>
    <row r="31" spans="1:18" ht="15.75">
      <c r="A31" s="19"/>
      <c r="B31" s="20">
        <f>DATE(2013,4,1)</f>
        <v>41365</v>
      </c>
      <c r="C31" s="21">
        <v>167616</v>
      </c>
      <c r="D31" s="21">
        <v>182667</v>
      </c>
      <c r="E31" s="23">
        <f t="shared" si="5"/>
        <v>-0.08239583504409663</v>
      </c>
      <c r="F31" s="21">
        <f>+C31-81291</f>
        <v>86325</v>
      </c>
      <c r="G31" s="21">
        <f>+D31-89828</f>
        <v>92839</v>
      </c>
      <c r="H31" s="23">
        <f t="shared" si="6"/>
        <v>-0.07016447829037366</v>
      </c>
      <c r="I31" s="24">
        <f t="shared" si="7"/>
        <v>40.211083070828565</v>
      </c>
      <c r="J31" s="24">
        <f t="shared" si="8"/>
        <v>78.0772765710976</v>
      </c>
      <c r="K31" s="21">
        <v>6740020.9</v>
      </c>
      <c r="L31" s="21">
        <v>6799542.43</v>
      </c>
      <c r="M31" s="25">
        <f t="shared" si="9"/>
        <v>-0.008753755214084212</v>
      </c>
      <c r="N31" s="10"/>
      <c r="R31" s="2"/>
    </row>
    <row r="32" spans="1:18" ht="15.75" customHeight="1" thickBot="1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 thickBot="1" thickTop="1">
      <c r="A33" s="26" t="s">
        <v>14</v>
      </c>
      <c r="B33" s="27"/>
      <c r="C33" s="28">
        <f>SUM(C22:C32)</f>
        <v>1765528</v>
      </c>
      <c r="D33" s="28">
        <f>SUM(D22:D32)</f>
        <v>1834150</v>
      </c>
      <c r="E33" s="29">
        <f>(+C33-D33)/D33</f>
        <v>-0.03741351579750838</v>
      </c>
      <c r="F33" s="28">
        <f>SUM(F22:F32)</f>
        <v>891923</v>
      </c>
      <c r="G33" s="28">
        <f>SUM(G22:G32)</f>
        <v>933221</v>
      </c>
      <c r="H33" s="30">
        <f>(+F33-G33)/G33</f>
        <v>-0.04425318332956502</v>
      </c>
      <c r="I33" s="31">
        <f>K33/C33</f>
        <v>38.87235980964335</v>
      </c>
      <c r="J33" s="31">
        <f>K33/F33</f>
        <v>76.94637280348192</v>
      </c>
      <c r="K33" s="28">
        <f>SUM(K22:K32)</f>
        <v>68630239.67</v>
      </c>
      <c r="L33" s="28">
        <f>SUM(L22:L32)</f>
        <v>70211099.13</v>
      </c>
      <c r="M33" s="32">
        <f>(+K33-L33)/L33</f>
        <v>-0.0225158056146214</v>
      </c>
      <c r="N33" s="10"/>
      <c r="R33" s="2"/>
    </row>
    <row r="34" spans="1:18" ht="15.75" customHeight="1" thickTop="1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>
      <c r="A35" s="19" t="s">
        <v>56</v>
      </c>
      <c r="B35" s="20">
        <f>DATE(2012,7,1)</f>
        <v>41091</v>
      </c>
      <c r="C35" s="21">
        <v>87611</v>
      </c>
      <c r="D35" s="21">
        <v>87027</v>
      </c>
      <c r="E35" s="23">
        <f aca="true" t="shared" si="10" ref="E35:E44">(+C35-D35)/D35</f>
        <v>0.006710561090236364</v>
      </c>
      <c r="F35" s="21">
        <f>+C35-48596</f>
        <v>39015</v>
      </c>
      <c r="G35" s="21">
        <f>+D35-47384</f>
        <v>39643</v>
      </c>
      <c r="H35" s="23">
        <f aca="true" t="shared" si="11" ref="H35:H44">(+F35-G35)/G35</f>
        <v>-0.015841384355371694</v>
      </c>
      <c r="I35" s="24">
        <f aca="true" t="shared" si="12" ref="I35:I44">K35/C35</f>
        <v>36.536244535503535</v>
      </c>
      <c r="J35" s="24">
        <f aca="true" t="shared" si="13" ref="J35:J44">K35/F35</f>
        <v>82.04477559912854</v>
      </c>
      <c r="K35" s="21">
        <v>3200976.92</v>
      </c>
      <c r="L35" s="21">
        <v>3040948.65</v>
      </c>
      <c r="M35" s="25">
        <f aca="true" t="shared" si="14" ref="M35:M44">(+K35-L35)/L35</f>
        <v>0.052624456516225625</v>
      </c>
      <c r="N35" s="10"/>
      <c r="R35" s="2"/>
    </row>
    <row r="36" spans="1:18" ht="15.75" customHeight="1">
      <c r="A36" s="19"/>
      <c r="B36" s="20">
        <f>DATE(2012,8,1)</f>
        <v>41122</v>
      </c>
      <c r="C36" s="21">
        <v>84148</v>
      </c>
      <c r="D36" s="21">
        <v>74715</v>
      </c>
      <c r="E36" s="23">
        <f t="shared" si="10"/>
        <v>0.12625309509469318</v>
      </c>
      <c r="F36" s="21">
        <f>+C36-47637</f>
        <v>36511</v>
      </c>
      <c r="G36" s="21">
        <f>+D36-41561</f>
        <v>33154</v>
      </c>
      <c r="H36" s="23">
        <f t="shared" si="11"/>
        <v>0.10125475055800205</v>
      </c>
      <c r="I36" s="24">
        <f t="shared" si="12"/>
        <v>36.913114037172605</v>
      </c>
      <c r="J36" s="24">
        <f t="shared" si="13"/>
        <v>85.07476431760291</v>
      </c>
      <c r="K36" s="21">
        <v>3106164.72</v>
      </c>
      <c r="L36" s="21">
        <v>2728550.12</v>
      </c>
      <c r="M36" s="25">
        <f t="shared" si="14"/>
        <v>0.13839386611670526</v>
      </c>
      <c r="N36" s="10"/>
      <c r="R36" s="2"/>
    </row>
    <row r="37" spans="1:18" ht="15.75" customHeight="1">
      <c r="A37" s="19"/>
      <c r="B37" s="20">
        <f>DATE(2012,9,1)</f>
        <v>41153</v>
      </c>
      <c r="C37" s="21">
        <v>77545</v>
      </c>
      <c r="D37" s="21">
        <v>80985</v>
      </c>
      <c r="E37" s="23">
        <f t="shared" si="10"/>
        <v>-0.04247700191393468</v>
      </c>
      <c r="F37" s="21">
        <f>+C37-43775</f>
        <v>33770</v>
      </c>
      <c r="G37" s="21">
        <f>+D37-44200</f>
        <v>36785</v>
      </c>
      <c r="H37" s="23">
        <f t="shared" si="11"/>
        <v>-0.08196275655837977</v>
      </c>
      <c r="I37" s="24">
        <f t="shared" si="12"/>
        <v>37.08778038558257</v>
      </c>
      <c r="J37" s="24">
        <f t="shared" si="13"/>
        <v>85.16351584246372</v>
      </c>
      <c r="K37" s="21">
        <v>2875971.93</v>
      </c>
      <c r="L37" s="21">
        <v>2782136.84</v>
      </c>
      <c r="M37" s="25">
        <f t="shared" si="14"/>
        <v>0.03372770478104892</v>
      </c>
      <c r="N37" s="10"/>
      <c r="R37" s="2"/>
    </row>
    <row r="38" spans="1:18" ht="15.75" customHeight="1">
      <c r="A38" s="19"/>
      <c r="B38" s="20">
        <f>DATE(2012,10,1)</f>
        <v>41183</v>
      </c>
      <c r="C38" s="21">
        <v>70090</v>
      </c>
      <c r="D38" s="21">
        <v>75665</v>
      </c>
      <c r="E38" s="23">
        <f t="shared" si="10"/>
        <v>-0.07368003700522038</v>
      </c>
      <c r="F38" s="21">
        <f>+C38-40061</f>
        <v>30029</v>
      </c>
      <c r="G38" s="21">
        <f>+D38-42722</f>
        <v>32943</v>
      </c>
      <c r="H38" s="23">
        <f t="shared" si="11"/>
        <v>-0.08845581762438151</v>
      </c>
      <c r="I38" s="24">
        <f t="shared" si="12"/>
        <v>37.65175659865887</v>
      </c>
      <c r="J38" s="24">
        <f t="shared" si="13"/>
        <v>87.88210130207466</v>
      </c>
      <c r="K38" s="21">
        <v>2639011.62</v>
      </c>
      <c r="L38" s="21">
        <v>2798285.17</v>
      </c>
      <c r="M38" s="25">
        <f t="shared" si="14"/>
        <v>-0.05691826969872403</v>
      </c>
      <c r="N38" s="10"/>
      <c r="R38" s="2"/>
    </row>
    <row r="39" spans="1:18" ht="15.75" customHeight="1">
      <c r="A39" s="19"/>
      <c r="B39" s="20">
        <f>DATE(2012,11,1)</f>
        <v>41214</v>
      </c>
      <c r="C39" s="21">
        <v>67669</v>
      </c>
      <c r="D39" s="21">
        <v>68005</v>
      </c>
      <c r="E39" s="23">
        <f t="shared" si="10"/>
        <v>-0.004940813175501801</v>
      </c>
      <c r="F39" s="21">
        <f>+C39-39222</f>
        <v>28447</v>
      </c>
      <c r="G39" s="21">
        <f>+D39-38841</f>
        <v>29164</v>
      </c>
      <c r="H39" s="23">
        <f t="shared" si="11"/>
        <v>-0.024585104923878755</v>
      </c>
      <c r="I39" s="24">
        <f t="shared" si="12"/>
        <v>37.60165910535105</v>
      </c>
      <c r="J39" s="24">
        <f t="shared" si="13"/>
        <v>89.44587021478539</v>
      </c>
      <c r="K39" s="21">
        <v>2544466.67</v>
      </c>
      <c r="L39" s="21">
        <v>2581625.71</v>
      </c>
      <c r="M39" s="25">
        <f t="shared" si="14"/>
        <v>-0.014393658947562943</v>
      </c>
      <c r="N39" s="10"/>
      <c r="R39" s="2"/>
    </row>
    <row r="40" spans="1:18" ht="15.75" customHeight="1">
      <c r="A40" s="19"/>
      <c r="B40" s="20">
        <f>DATE(2012,12,1)</f>
        <v>41244</v>
      </c>
      <c r="C40" s="21">
        <v>69888</v>
      </c>
      <c r="D40" s="21">
        <v>78314</v>
      </c>
      <c r="E40" s="23">
        <f t="shared" si="10"/>
        <v>-0.10759251219449907</v>
      </c>
      <c r="F40" s="21">
        <f>+C40-40353</f>
        <v>29535</v>
      </c>
      <c r="G40" s="21">
        <f>+D40-44936</f>
        <v>33378</v>
      </c>
      <c r="H40" s="23">
        <f t="shared" si="11"/>
        <v>-0.11513571813769549</v>
      </c>
      <c r="I40" s="24">
        <f t="shared" si="12"/>
        <v>37.68587697458791</v>
      </c>
      <c r="J40" s="24">
        <f t="shared" si="13"/>
        <v>89.17523514474352</v>
      </c>
      <c r="K40" s="21">
        <v>2633790.57</v>
      </c>
      <c r="L40" s="21">
        <v>2993742.72</v>
      </c>
      <c r="M40" s="25">
        <f t="shared" si="14"/>
        <v>-0.12023483100110899</v>
      </c>
      <c r="N40" s="10"/>
      <c r="R40" s="2"/>
    </row>
    <row r="41" spans="1:18" ht="15.75" customHeight="1">
      <c r="A41" s="19"/>
      <c r="B41" s="20">
        <f>DATE(2013,1,1)</f>
        <v>41275</v>
      </c>
      <c r="C41" s="21">
        <v>63341</v>
      </c>
      <c r="D41" s="21">
        <v>72850</v>
      </c>
      <c r="E41" s="23">
        <f t="shared" si="10"/>
        <v>-0.13052848318462595</v>
      </c>
      <c r="F41" s="21">
        <f>+C41-36724</f>
        <v>26617</v>
      </c>
      <c r="G41" s="21">
        <f>+D41-42151</f>
        <v>30699</v>
      </c>
      <c r="H41" s="23">
        <f t="shared" si="11"/>
        <v>-0.1329685006026255</v>
      </c>
      <c r="I41" s="24">
        <f t="shared" si="12"/>
        <v>37.084928245528175</v>
      </c>
      <c r="J41" s="24">
        <f t="shared" si="13"/>
        <v>88.2517353571026</v>
      </c>
      <c r="K41" s="21">
        <v>2348996.44</v>
      </c>
      <c r="L41" s="21">
        <v>2651224.78</v>
      </c>
      <c r="M41" s="25">
        <f t="shared" si="14"/>
        <v>-0.1139957435068934</v>
      </c>
      <c r="N41" s="10"/>
      <c r="R41" s="2"/>
    </row>
    <row r="42" spans="1:18" ht="15.75" customHeight="1">
      <c r="A42" s="19"/>
      <c r="B42" s="20">
        <f>DATE(2013,2,1)</f>
        <v>41306</v>
      </c>
      <c r="C42" s="21">
        <v>72003</v>
      </c>
      <c r="D42" s="21">
        <v>90406</v>
      </c>
      <c r="E42" s="23">
        <f t="shared" si="10"/>
        <v>-0.2035594982633896</v>
      </c>
      <c r="F42" s="21">
        <f>+C42-41989</f>
        <v>30014</v>
      </c>
      <c r="G42" s="21">
        <f>+D42-52669</f>
        <v>37737</v>
      </c>
      <c r="H42" s="23">
        <f t="shared" si="11"/>
        <v>-0.2046532580756287</v>
      </c>
      <c r="I42" s="24">
        <f t="shared" si="12"/>
        <v>38.93466994430788</v>
      </c>
      <c r="J42" s="24">
        <f t="shared" si="13"/>
        <v>93.40351302725395</v>
      </c>
      <c r="K42" s="21">
        <v>2803413.04</v>
      </c>
      <c r="L42" s="21">
        <v>3532432.53</v>
      </c>
      <c r="M42" s="25">
        <f t="shared" si="14"/>
        <v>-0.20637888588349054</v>
      </c>
      <c r="N42" s="10"/>
      <c r="R42" s="2"/>
    </row>
    <row r="43" spans="1:18" ht="15.75" customHeight="1">
      <c r="A43" s="19"/>
      <c r="B43" s="20">
        <f>DATE(2013,3,1)</f>
        <v>41334</v>
      </c>
      <c r="C43" s="21">
        <v>77747</v>
      </c>
      <c r="D43" s="21">
        <v>87698</v>
      </c>
      <c r="E43" s="23">
        <f t="shared" si="10"/>
        <v>-0.1134689502611234</v>
      </c>
      <c r="F43" s="21">
        <f>+C43-44873</f>
        <v>32874</v>
      </c>
      <c r="G43" s="21">
        <f>+D43-50191</f>
        <v>37507</v>
      </c>
      <c r="H43" s="23">
        <f t="shared" si="11"/>
        <v>-0.12352360892633375</v>
      </c>
      <c r="I43" s="24">
        <f t="shared" si="12"/>
        <v>38.1625579122024</v>
      </c>
      <c r="J43" s="24">
        <f t="shared" si="13"/>
        <v>90.25443785362293</v>
      </c>
      <c r="K43" s="21">
        <v>2967024.39</v>
      </c>
      <c r="L43" s="21">
        <v>3396650.47</v>
      </c>
      <c r="M43" s="25">
        <f t="shared" si="14"/>
        <v>-0.1264852194226508</v>
      </c>
      <c r="N43" s="10"/>
      <c r="R43" s="2"/>
    </row>
    <row r="44" spans="1:18" ht="15.75" customHeight="1">
      <c r="A44" s="19"/>
      <c r="B44" s="20">
        <f>DATE(2013,4,1)</f>
        <v>41365</v>
      </c>
      <c r="C44" s="21">
        <v>74896</v>
      </c>
      <c r="D44" s="21">
        <v>77629</v>
      </c>
      <c r="E44" s="23">
        <f t="shared" si="10"/>
        <v>-0.035205915315152846</v>
      </c>
      <c r="F44" s="21">
        <f>+C44-41835</f>
        <v>33061</v>
      </c>
      <c r="G44" s="21">
        <f>+D44-43773</f>
        <v>33856</v>
      </c>
      <c r="H44" s="23">
        <f t="shared" si="11"/>
        <v>-0.02348180529300567</v>
      </c>
      <c r="I44" s="24">
        <f t="shared" si="12"/>
        <v>36.37847828989532</v>
      </c>
      <c r="J44" s="24">
        <f t="shared" si="13"/>
        <v>82.41137624391276</v>
      </c>
      <c r="K44" s="21">
        <v>2724602.51</v>
      </c>
      <c r="L44" s="21">
        <v>3078225.83</v>
      </c>
      <c r="M44" s="25">
        <f t="shared" si="14"/>
        <v>-0.11487893985997781</v>
      </c>
      <c r="N44" s="10"/>
      <c r="R44" s="2"/>
    </row>
    <row r="45" spans="1:18" ht="15.75" customHeight="1" thickBot="1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5.75" customHeight="1" thickBot="1" thickTop="1">
      <c r="A46" s="39" t="s">
        <v>14</v>
      </c>
      <c r="B46" s="40"/>
      <c r="C46" s="41">
        <f>SUM(C35:C45)</f>
        <v>744938</v>
      </c>
      <c r="D46" s="41">
        <f>SUM(D35:D45)</f>
        <v>793294</v>
      </c>
      <c r="E46" s="42">
        <f>(+C46-D46)/D46</f>
        <v>-0.06095596336288942</v>
      </c>
      <c r="F46" s="41">
        <f>SUM(F35:F45)</f>
        <v>319873</v>
      </c>
      <c r="G46" s="41">
        <f>SUM(G35:G45)</f>
        <v>344866</v>
      </c>
      <c r="H46" s="43">
        <f>(+F46-G46)/G46</f>
        <v>-0.07247162666078999</v>
      </c>
      <c r="I46" s="44">
        <f>K46/C46</f>
        <v>37.37816947182182</v>
      </c>
      <c r="J46" s="44">
        <f>K46/F46</f>
        <v>87.04835609757623</v>
      </c>
      <c r="K46" s="41">
        <f>SUM(K35:K45)</f>
        <v>27844418.810000002</v>
      </c>
      <c r="L46" s="41">
        <f>SUM(L35:L45)</f>
        <v>29583822.82</v>
      </c>
      <c r="M46" s="45">
        <f>(+K46-L46)/L46</f>
        <v>-0.05879578243093324</v>
      </c>
      <c r="N46" s="10"/>
      <c r="R46" s="2"/>
    </row>
    <row r="47" spans="1:18" ht="15.75" customHeight="1" thickTop="1">
      <c r="A47" s="38"/>
      <c r="B47" s="46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>
      <c r="A48" s="181" t="s">
        <v>73</v>
      </c>
      <c r="B48" s="20">
        <f>DATE(2012,7,1)</f>
        <v>41091</v>
      </c>
      <c r="C48" s="21">
        <v>582260</v>
      </c>
      <c r="D48" s="21">
        <v>617673</v>
      </c>
      <c r="E48" s="23">
        <f aca="true" t="shared" si="15" ref="E48:E57">(+C48-D48)/D48</f>
        <v>-0.05733292535046861</v>
      </c>
      <c r="F48" s="21">
        <f>+C48-308239</f>
        <v>274021</v>
      </c>
      <c r="G48" s="21">
        <f>+D48-316900</f>
        <v>300773</v>
      </c>
      <c r="H48" s="23">
        <f aca="true" t="shared" si="16" ref="H48:H57">(+F48-G48)/G48</f>
        <v>-0.0889441538967926</v>
      </c>
      <c r="I48" s="24">
        <f aca="true" t="shared" si="17" ref="I48:I57">K48/C48</f>
        <v>40.14309899357675</v>
      </c>
      <c r="J48" s="24">
        <f aca="true" t="shared" si="18" ref="J48:J57">K48/F48</f>
        <v>85.29901292236727</v>
      </c>
      <c r="K48" s="21">
        <v>23373720.82</v>
      </c>
      <c r="L48" s="21">
        <v>24479102.16</v>
      </c>
      <c r="M48" s="25">
        <f aca="true" t="shared" si="19" ref="M48:M57">(+K48-L48)/L48</f>
        <v>-0.04515612267047297</v>
      </c>
      <c r="N48" s="10"/>
      <c r="R48" s="2"/>
    </row>
    <row r="49" spans="1:18" ht="15.75" customHeight="1">
      <c r="A49" s="19" t="s">
        <v>74</v>
      </c>
      <c r="B49" s="20">
        <f>DATE(2012,8,1)</f>
        <v>41122</v>
      </c>
      <c r="C49" s="21">
        <v>528293</v>
      </c>
      <c r="D49" s="21">
        <v>557677</v>
      </c>
      <c r="E49" s="23">
        <f t="shared" si="15"/>
        <v>-0.05268999797373749</v>
      </c>
      <c r="F49" s="21">
        <f>+C49-282980</f>
        <v>245313</v>
      </c>
      <c r="G49" s="21">
        <f>+D49-280204</f>
        <v>277473</v>
      </c>
      <c r="H49" s="23">
        <f t="shared" si="16"/>
        <v>-0.1159031689569796</v>
      </c>
      <c r="I49" s="24">
        <f t="shared" si="17"/>
        <v>38.51304295154394</v>
      </c>
      <c r="J49" s="24">
        <f t="shared" si="18"/>
        <v>82.93963630137824</v>
      </c>
      <c r="K49" s="21">
        <v>20346171</v>
      </c>
      <c r="L49" s="21">
        <v>21106601.3</v>
      </c>
      <c r="M49" s="25">
        <f t="shared" si="19"/>
        <v>-0.03602807904463523</v>
      </c>
      <c r="N49" s="10"/>
      <c r="R49" s="2"/>
    </row>
    <row r="50" spans="1:18" ht="15.75" customHeight="1">
      <c r="A50" s="19"/>
      <c r="B50" s="20">
        <f>DATE(2012,9,1)</f>
        <v>41153</v>
      </c>
      <c r="C50" s="21">
        <v>517872</v>
      </c>
      <c r="D50" s="21">
        <v>568209</v>
      </c>
      <c r="E50" s="23">
        <f t="shared" si="15"/>
        <v>-0.08858888190788952</v>
      </c>
      <c r="F50" s="21">
        <f>+C50-277087</f>
        <v>240785</v>
      </c>
      <c r="G50" s="21">
        <f>+D50-285506</f>
        <v>282703</v>
      </c>
      <c r="H50" s="23">
        <f t="shared" si="16"/>
        <v>-0.14827575229127388</v>
      </c>
      <c r="I50" s="24">
        <f t="shared" si="17"/>
        <v>40.93593843652485</v>
      </c>
      <c r="J50" s="24">
        <f t="shared" si="18"/>
        <v>88.04359204269369</v>
      </c>
      <c r="K50" s="21">
        <v>21199576.31</v>
      </c>
      <c r="L50" s="21">
        <v>21972851.15</v>
      </c>
      <c r="M50" s="25">
        <f t="shared" si="19"/>
        <v>-0.03519228500303202</v>
      </c>
      <c r="N50" s="10"/>
      <c r="R50" s="2"/>
    </row>
    <row r="51" spans="1:18" ht="15.75" customHeight="1">
      <c r="A51" s="19"/>
      <c r="B51" s="20">
        <f>DATE(2012,10,1)</f>
        <v>41183</v>
      </c>
      <c r="C51" s="21">
        <v>474025</v>
      </c>
      <c r="D51" s="21">
        <v>544062</v>
      </c>
      <c r="E51" s="23">
        <f t="shared" si="15"/>
        <v>-0.12872981388150614</v>
      </c>
      <c r="F51" s="21">
        <f>+C51-252224</f>
        <v>221801</v>
      </c>
      <c r="G51" s="21">
        <f>+D51-274434</f>
        <v>269628</v>
      </c>
      <c r="H51" s="23">
        <f t="shared" si="16"/>
        <v>-0.1773814292284184</v>
      </c>
      <c r="I51" s="24">
        <f t="shared" si="17"/>
        <v>41.269009777965294</v>
      </c>
      <c r="J51" s="24">
        <f t="shared" si="18"/>
        <v>88.198621106307</v>
      </c>
      <c r="K51" s="21">
        <v>19562542.36</v>
      </c>
      <c r="L51" s="21">
        <v>21644741.56</v>
      </c>
      <c r="M51" s="25">
        <f t="shared" si="19"/>
        <v>-0.09619884784616478</v>
      </c>
      <c r="N51" s="10"/>
      <c r="R51" s="2"/>
    </row>
    <row r="52" spans="1:18" ht="15.75" customHeight="1">
      <c r="A52" s="19"/>
      <c r="B52" s="20">
        <f>DATE(2012,11,1)</f>
        <v>41214</v>
      </c>
      <c r="C52" s="21">
        <f>463403+10448</f>
        <v>473851</v>
      </c>
      <c r="D52" s="21">
        <v>534755</v>
      </c>
      <c r="E52" s="23">
        <f t="shared" si="15"/>
        <v>-0.11389140821497695</v>
      </c>
      <c r="F52" s="21">
        <f>+C52-5626-251641</f>
        <v>216584</v>
      </c>
      <c r="G52" s="21">
        <f>+D52-278012</f>
        <v>256743</v>
      </c>
      <c r="H52" s="23">
        <f t="shared" si="16"/>
        <v>-0.15641711750661166</v>
      </c>
      <c r="I52" s="24">
        <f t="shared" si="17"/>
        <v>37.1147710356209</v>
      </c>
      <c r="J52" s="24">
        <f t="shared" si="18"/>
        <v>81.2011569183319</v>
      </c>
      <c r="K52" s="21">
        <f>381519.06+17205352.31</f>
        <v>17586871.369999997</v>
      </c>
      <c r="L52" s="21">
        <v>20992477.89</v>
      </c>
      <c r="M52" s="25">
        <f t="shared" si="19"/>
        <v>-0.16222984908429042</v>
      </c>
      <c r="N52" s="10"/>
      <c r="R52" s="2"/>
    </row>
    <row r="53" spans="1:18" ht="15.75" customHeight="1">
      <c r="A53" s="19"/>
      <c r="B53" s="20">
        <f>DATE(2012,12,1)</f>
        <v>41244</v>
      </c>
      <c r="C53" s="21">
        <v>532924</v>
      </c>
      <c r="D53" s="21">
        <v>577044</v>
      </c>
      <c r="E53" s="23">
        <f t="shared" si="15"/>
        <v>-0.07645864093552658</v>
      </c>
      <c r="F53" s="21">
        <f>+C53-290972</f>
        <v>241952</v>
      </c>
      <c r="G53" s="21">
        <f>+D53-303257</f>
        <v>273787</v>
      </c>
      <c r="H53" s="23">
        <f t="shared" si="16"/>
        <v>-0.11627652152951017</v>
      </c>
      <c r="I53" s="24">
        <f t="shared" si="17"/>
        <v>38.06418795175297</v>
      </c>
      <c r="J53" s="24">
        <f t="shared" si="18"/>
        <v>83.84026294471632</v>
      </c>
      <c r="K53" s="21">
        <v>20285319.3</v>
      </c>
      <c r="L53" s="21">
        <v>23303450.88</v>
      </c>
      <c r="M53" s="25">
        <f t="shared" si="19"/>
        <v>-0.12951436229516916</v>
      </c>
      <c r="N53" s="10"/>
      <c r="R53" s="2"/>
    </row>
    <row r="54" spans="1:18" ht="15.75" customHeight="1">
      <c r="A54" s="19"/>
      <c r="B54" s="20">
        <f>DATE(2013,1,1)</f>
        <v>41275</v>
      </c>
      <c r="C54" s="21">
        <v>589928</v>
      </c>
      <c r="D54" s="21">
        <v>553204</v>
      </c>
      <c r="E54" s="23">
        <f t="shared" si="15"/>
        <v>0.06638419100368038</v>
      </c>
      <c r="F54" s="21">
        <f>+C54-309175</f>
        <v>280753</v>
      </c>
      <c r="G54" s="21">
        <f>+D54-286131</f>
        <v>267073</v>
      </c>
      <c r="H54" s="23">
        <f t="shared" si="16"/>
        <v>0.051221950552845105</v>
      </c>
      <c r="I54" s="24">
        <f t="shared" si="17"/>
        <v>32.89182330725105</v>
      </c>
      <c r="J54" s="24">
        <f t="shared" si="18"/>
        <v>69.1134468376117</v>
      </c>
      <c r="K54" s="21">
        <v>19403807.54</v>
      </c>
      <c r="L54" s="21">
        <v>20622789.48</v>
      </c>
      <c r="M54" s="25">
        <f t="shared" si="19"/>
        <v>-0.05910848972114908</v>
      </c>
      <c r="N54" s="10"/>
      <c r="R54" s="2"/>
    </row>
    <row r="55" spans="1:18" ht="15.75" customHeight="1">
      <c r="A55" s="19"/>
      <c r="B55" s="20">
        <f>DATE(2013,2,1)</f>
        <v>41306</v>
      </c>
      <c r="C55" s="21">
        <v>562153</v>
      </c>
      <c r="D55" s="21">
        <v>566686</v>
      </c>
      <c r="E55" s="23">
        <f t="shared" si="15"/>
        <v>-0.007999138852909725</v>
      </c>
      <c r="F55" s="21">
        <f>+C55-298400</f>
        <v>263753</v>
      </c>
      <c r="G55" s="21">
        <f>+D55-293138</f>
        <v>273548</v>
      </c>
      <c r="H55" s="23">
        <f t="shared" si="16"/>
        <v>-0.03580724406685481</v>
      </c>
      <c r="I55" s="24">
        <f t="shared" si="17"/>
        <v>36.7421436690723</v>
      </c>
      <c r="J55" s="24">
        <f t="shared" si="18"/>
        <v>78.31079187724879</v>
      </c>
      <c r="K55" s="21">
        <v>20654706.29</v>
      </c>
      <c r="L55" s="21">
        <v>22911426.89</v>
      </c>
      <c r="M55" s="25">
        <f t="shared" si="19"/>
        <v>-0.09849760169171207</v>
      </c>
      <c r="N55" s="10"/>
      <c r="R55" s="2"/>
    </row>
    <row r="56" spans="1:18" ht="15.75" customHeight="1">
      <c r="A56" s="19"/>
      <c r="B56" s="20">
        <f>DATE(2013,3,1)</f>
        <v>41334</v>
      </c>
      <c r="C56" s="21">
        <v>557503</v>
      </c>
      <c r="D56" s="21">
        <v>578567</v>
      </c>
      <c r="E56" s="23">
        <f t="shared" si="15"/>
        <v>-0.036407192252582675</v>
      </c>
      <c r="F56" s="21">
        <f>+C56-301503</f>
        <v>256000</v>
      </c>
      <c r="G56" s="21">
        <f>+D56-300289</f>
        <v>278278</v>
      </c>
      <c r="H56" s="23">
        <f t="shared" si="16"/>
        <v>-0.08005663401346855</v>
      </c>
      <c r="I56" s="24">
        <f t="shared" si="17"/>
        <v>40.686528879665225</v>
      </c>
      <c r="J56" s="24">
        <f t="shared" si="18"/>
        <v>88.6049293359375</v>
      </c>
      <c r="K56" s="21">
        <v>22682861.91</v>
      </c>
      <c r="L56" s="21">
        <v>25215092.69</v>
      </c>
      <c r="M56" s="25">
        <f t="shared" si="19"/>
        <v>-0.10042520212524354</v>
      </c>
      <c r="N56" s="10"/>
      <c r="R56" s="2"/>
    </row>
    <row r="57" spans="1:18" ht="15.75" customHeight="1">
      <c r="A57" s="19"/>
      <c r="B57" s="20">
        <f>DATE(2013,4,1)</f>
        <v>41365</v>
      </c>
      <c r="C57" s="21">
        <v>484817</v>
      </c>
      <c r="D57" s="21">
        <v>600357</v>
      </c>
      <c r="E57" s="23">
        <f t="shared" si="15"/>
        <v>-0.1924521576328751</v>
      </c>
      <c r="F57" s="21">
        <f>+C57-258211</f>
        <v>226606</v>
      </c>
      <c r="G57" s="21">
        <f>+D57-312228</f>
        <v>288129</v>
      </c>
      <c r="H57" s="23">
        <f t="shared" si="16"/>
        <v>-0.21352588597468494</v>
      </c>
      <c r="I57" s="24">
        <f t="shared" si="17"/>
        <v>40.62049868300822</v>
      </c>
      <c r="J57" s="24">
        <f t="shared" si="18"/>
        <v>86.9063851354333</v>
      </c>
      <c r="K57" s="21">
        <v>19693508.31</v>
      </c>
      <c r="L57" s="21">
        <v>24089984.68</v>
      </c>
      <c r="M57" s="25">
        <f t="shared" si="19"/>
        <v>-0.18250224848212734</v>
      </c>
      <c r="N57" s="10"/>
      <c r="R57" s="2"/>
    </row>
    <row r="58" spans="1:18" ht="15.75" thickBot="1">
      <c r="A58" s="38"/>
      <c r="B58" s="46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Bot="1" thickTop="1">
      <c r="A59" s="39" t="s">
        <v>14</v>
      </c>
      <c r="B59" s="40"/>
      <c r="C59" s="41">
        <f>SUM(C48:C58)</f>
        <v>5303626</v>
      </c>
      <c r="D59" s="41">
        <f>SUM(D48:D58)</f>
        <v>5698234</v>
      </c>
      <c r="E59" s="42">
        <f>(+C59-D59)/D59</f>
        <v>-0.06925092932301481</v>
      </c>
      <c r="F59" s="41">
        <f>SUM(F48:F58)</f>
        <v>2467568</v>
      </c>
      <c r="G59" s="41">
        <f>SUM(G48:G58)</f>
        <v>2768135</v>
      </c>
      <c r="H59" s="43">
        <f>(+F59-G59)/G59</f>
        <v>-0.10858104825089816</v>
      </c>
      <c r="I59" s="44">
        <f>K59/C59</f>
        <v>38.61303289673894</v>
      </c>
      <c r="J59" s="44">
        <f>K59/F59</f>
        <v>82.99227628580043</v>
      </c>
      <c r="K59" s="41">
        <f>SUM(K48:K58)</f>
        <v>204789085.20999998</v>
      </c>
      <c r="L59" s="41">
        <f>SUM(L48:L58)</f>
        <v>226338518.68</v>
      </c>
      <c r="M59" s="45">
        <f>(+K59-L59)/L59</f>
        <v>-0.09520886500307472</v>
      </c>
      <c r="N59" s="10"/>
      <c r="R59" s="2"/>
    </row>
    <row r="60" spans="1:18" ht="15.75" thickTop="1">
      <c r="A60" s="38"/>
      <c r="B60" s="46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>
      <c r="A61" s="19" t="s">
        <v>16</v>
      </c>
      <c r="B61" s="20">
        <f>DATE(2012,7,1)</f>
        <v>41091</v>
      </c>
      <c r="C61" s="21">
        <v>380604</v>
      </c>
      <c r="D61" s="21">
        <v>441921</v>
      </c>
      <c r="E61" s="23">
        <f aca="true" t="shared" si="20" ref="E61:E70">(+C61-D61)/D61</f>
        <v>-0.13875104373858677</v>
      </c>
      <c r="F61" s="21">
        <f>+C61-174162</f>
        <v>206442</v>
      </c>
      <c r="G61" s="21">
        <f>+D61-211667</f>
        <v>230254</v>
      </c>
      <c r="H61" s="23">
        <f aca="true" t="shared" si="21" ref="H61:H70">(+F61-G61)/G61</f>
        <v>-0.10341622729681135</v>
      </c>
      <c r="I61" s="24">
        <f aca="true" t="shared" si="22" ref="I61:I70">K61/C61</f>
        <v>41.78285275509454</v>
      </c>
      <c r="J61" s="24">
        <f aca="true" t="shared" si="23" ref="J61:J70">K61/F61</f>
        <v>77.03239113164958</v>
      </c>
      <c r="K61" s="21">
        <v>15902720.89</v>
      </c>
      <c r="L61" s="21">
        <v>17365902.37</v>
      </c>
      <c r="M61" s="25">
        <f aca="true" t="shared" si="24" ref="M61:M70">(+K61-L61)/L61</f>
        <v>-0.08425600057084741</v>
      </c>
      <c r="N61" s="10"/>
      <c r="R61" s="2"/>
    </row>
    <row r="62" spans="1:18" ht="15.75">
      <c r="A62" s="19"/>
      <c r="B62" s="20">
        <f>DATE(2012,8,1)</f>
        <v>41122</v>
      </c>
      <c r="C62" s="21">
        <v>373690</v>
      </c>
      <c r="D62" s="21">
        <v>417663</v>
      </c>
      <c r="E62" s="23">
        <f t="shared" si="20"/>
        <v>-0.10528344622339063</v>
      </c>
      <c r="F62" s="21">
        <f>+C62-175092</f>
        <v>198598</v>
      </c>
      <c r="G62" s="21">
        <f>+D62-199325</f>
        <v>218338</v>
      </c>
      <c r="H62" s="23">
        <f t="shared" si="21"/>
        <v>-0.09041028130696444</v>
      </c>
      <c r="I62" s="24">
        <f t="shared" si="22"/>
        <v>42.553120313628945</v>
      </c>
      <c r="J62" s="24">
        <f t="shared" si="23"/>
        <v>80.06966600872113</v>
      </c>
      <c r="K62" s="21">
        <v>15901675.53</v>
      </c>
      <c r="L62" s="21">
        <v>15967550.99</v>
      </c>
      <c r="M62" s="25">
        <f t="shared" si="24"/>
        <v>-0.004125583193143189</v>
      </c>
      <c r="N62" s="10"/>
      <c r="R62" s="2"/>
    </row>
    <row r="63" spans="1:18" ht="15.75">
      <c r="A63" s="19"/>
      <c r="B63" s="20">
        <f>DATE(2012,9,1)</f>
        <v>41153</v>
      </c>
      <c r="C63" s="21">
        <v>357430</v>
      </c>
      <c r="D63" s="21">
        <v>395374</v>
      </c>
      <c r="E63" s="23">
        <f t="shared" si="20"/>
        <v>-0.0959698917986514</v>
      </c>
      <c r="F63" s="21">
        <f>+C63-166372</f>
        <v>191058</v>
      </c>
      <c r="G63" s="21">
        <f>+D63-188061</f>
        <v>207313</v>
      </c>
      <c r="H63" s="23">
        <f t="shared" si="21"/>
        <v>-0.07840801107504113</v>
      </c>
      <c r="I63" s="24">
        <f t="shared" si="22"/>
        <v>40.803441121338444</v>
      </c>
      <c r="J63" s="24">
        <f t="shared" si="23"/>
        <v>76.33479864753112</v>
      </c>
      <c r="K63" s="21">
        <v>14584373.96</v>
      </c>
      <c r="L63" s="21">
        <v>16255427.86</v>
      </c>
      <c r="M63" s="25">
        <f t="shared" si="24"/>
        <v>-0.10279974876035029</v>
      </c>
      <c r="N63" s="10"/>
      <c r="R63" s="2"/>
    </row>
    <row r="64" spans="1:18" ht="15.75">
      <c r="A64" s="19"/>
      <c r="B64" s="20">
        <f>DATE(2012,10,1)</f>
        <v>41183</v>
      </c>
      <c r="C64" s="21">
        <v>342721</v>
      </c>
      <c r="D64" s="21">
        <v>405100</v>
      </c>
      <c r="E64" s="23">
        <f t="shared" si="20"/>
        <v>-0.15398420143174524</v>
      </c>
      <c r="F64" s="21">
        <f>+C64-158628</f>
        <v>184093</v>
      </c>
      <c r="G64" s="21">
        <f>+D64-190017</f>
        <v>215083</v>
      </c>
      <c r="H64" s="23">
        <f t="shared" si="21"/>
        <v>-0.14408391179219185</v>
      </c>
      <c r="I64" s="24">
        <f t="shared" si="22"/>
        <v>42.659391633427774</v>
      </c>
      <c r="J64" s="24">
        <f t="shared" si="23"/>
        <v>79.41784511089503</v>
      </c>
      <c r="K64" s="21">
        <v>14620269.36</v>
      </c>
      <c r="L64" s="21">
        <v>15549512.57</v>
      </c>
      <c r="M64" s="25">
        <f t="shared" si="24"/>
        <v>-0.05976027903233502</v>
      </c>
      <c r="N64" s="10"/>
      <c r="R64" s="2"/>
    </row>
    <row r="65" spans="1:18" ht="15.75">
      <c r="A65" s="19"/>
      <c r="B65" s="20">
        <f>DATE(2012,11,1)</f>
        <v>41214</v>
      </c>
      <c r="C65" s="21">
        <v>359163</v>
      </c>
      <c r="D65" s="21">
        <v>392183</v>
      </c>
      <c r="E65" s="23">
        <f t="shared" si="20"/>
        <v>-0.08419538837736465</v>
      </c>
      <c r="F65" s="21">
        <f>+C65-166870</f>
        <v>192293</v>
      </c>
      <c r="G65" s="21">
        <f>+D65-185433</f>
        <v>206750</v>
      </c>
      <c r="H65" s="23">
        <f t="shared" si="21"/>
        <v>-0.06992503022974607</v>
      </c>
      <c r="I65" s="24">
        <f t="shared" si="22"/>
        <v>42.331470724991156</v>
      </c>
      <c r="J65" s="24">
        <f t="shared" si="23"/>
        <v>79.06631037011228</v>
      </c>
      <c r="K65" s="21">
        <v>15203898.02</v>
      </c>
      <c r="L65" s="21">
        <v>15519728.86</v>
      </c>
      <c r="M65" s="25">
        <f t="shared" si="24"/>
        <v>-0.02035028078448014</v>
      </c>
      <c r="N65" s="10"/>
      <c r="R65" s="2"/>
    </row>
    <row r="66" spans="1:18" ht="15.75">
      <c r="A66" s="19"/>
      <c r="B66" s="20">
        <f>DATE(2012,12,1)</f>
        <v>41244</v>
      </c>
      <c r="C66" s="21">
        <v>361660</v>
      </c>
      <c r="D66" s="21">
        <v>423560</v>
      </c>
      <c r="E66" s="23">
        <f t="shared" si="20"/>
        <v>-0.14614222306166777</v>
      </c>
      <c r="F66" s="21">
        <f>+C66-168956</f>
        <v>192704</v>
      </c>
      <c r="G66" s="21">
        <f>+D66-201359</f>
        <v>222201</v>
      </c>
      <c r="H66" s="23">
        <f t="shared" si="21"/>
        <v>-0.13274917754645568</v>
      </c>
      <c r="I66" s="24">
        <f t="shared" si="22"/>
        <v>41.47565091522424</v>
      </c>
      <c r="J66" s="24">
        <f t="shared" si="23"/>
        <v>77.84002361134175</v>
      </c>
      <c r="K66" s="21">
        <v>15000083.91</v>
      </c>
      <c r="L66" s="21">
        <v>16479823.12</v>
      </c>
      <c r="M66" s="25">
        <f t="shared" si="24"/>
        <v>-0.08979096433408802</v>
      </c>
      <c r="N66" s="10"/>
      <c r="R66" s="2"/>
    </row>
    <row r="67" spans="1:18" ht="15.75">
      <c r="A67" s="19"/>
      <c r="B67" s="20">
        <f>DATE(2013,1,1)</f>
        <v>41275</v>
      </c>
      <c r="C67" s="21">
        <v>313725</v>
      </c>
      <c r="D67" s="21">
        <v>382445</v>
      </c>
      <c r="E67" s="23">
        <f t="shared" si="20"/>
        <v>-0.17968596791695537</v>
      </c>
      <c r="F67" s="21">
        <f>+C67-149802</f>
        <v>163923</v>
      </c>
      <c r="G67" s="21">
        <f>+D67-182817</f>
        <v>199628</v>
      </c>
      <c r="H67" s="23">
        <f t="shared" si="21"/>
        <v>-0.17885767527601337</v>
      </c>
      <c r="I67" s="24">
        <f t="shared" si="22"/>
        <v>41.644840959439</v>
      </c>
      <c r="J67" s="24">
        <f t="shared" si="23"/>
        <v>79.70222439804054</v>
      </c>
      <c r="K67" s="21">
        <v>13065027.73</v>
      </c>
      <c r="L67" s="21">
        <v>14056081.31</v>
      </c>
      <c r="M67" s="25">
        <f t="shared" si="24"/>
        <v>-0.0705071035193094</v>
      </c>
      <c r="N67" s="10"/>
      <c r="R67" s="2"/>
    </row>
    <row r="68" spans="1:18" ht="15.75">
      <c r="A68" s="19"/>
      <c r="B68" s="20">
        <f>DATE(2013,2,1)</f>
        <v>41306</v>
      </c>
      <c r="C68" s="21">
        <v>316522</v>
      </c>
      <c r="D68" s="21">
        <v>375813</v>
      </c>
      <c r="E68" s="23">
        <f t="shared" si="20"/>
        <v>-0.1577672938402876</v>
      </c>
      <c r="F68" s="21">
        <f>+C68-150600</f>
        <v>165922</v>
      </c>
      <c r="G68" s="21">
        <f>+D68-178556</f>
        <v>197257</v>
      </c>
      <c r="H68" s="23">
        <f t="shared" si="21"/>
        <v>-0.1588536781964645</v>
      </c>
      <c r="I68" s="24">
        <f t="shared" si="22"/>
        <v>43.7570064008189</v>
      </c>
      <c r="J68" s="24">
        <f t="shared" si="23"/>
        <v>83.47328973855184</v>
      </c>
      <c r="K68" s="21">
        <v>13850055.18</v>
      </c>
      <c r="L68" s="21">
        <v>15343867.3</v>
      </c>
      <c r="M68" s="25">
        <f t="shared" si="24"/>
        <v>-0.09735564644775056</v>
      </c>
      <c r="N68" s="10"/>
      <c r="R68" s="2"/>
    </row>
    <row r="69" spans="1:18" ht="15.75">
      <c r="A69" s="19"/>
      <c r="B69" s="20">
        <f>DATE(2013,3,1)</f>
        <v>41334</v>
      </c>
      <c r="C69" s="21">
        <v>360556</v>
      </c>
      <c r="D69" s="21">
        <v>400755</v>
      </c>
      <c r="E69" s="23">
        <f t="shared" si="20"/>
        <v>-0.10030816833227284</v>
      </c>
      <c r="F69" s="21">
        <f>+C69-171185</f>
        <v>189371</v>
      </c>
      <c r="G69" s="21">
        <f>+D69-193028</f>
        <v>207727</v>
      </c>
      <c r="H69" s="23">
        <f t="shared" si="21"/>
        <v>-0.08836598034920834</v>
      </c>
      <c r="I69" s="24">
        <f t="shared" si="22"/>
        <v>46.85829061227659</v>
      </c>
      <c r="J69" s="24">
        <f t="shared" si="23"/>
        <v>89.21660565767725</v>
      </c>
      <c r="K69" s="21">
        <v>16895037.83</v>
      </c>
      <c r="L69" s="21">
        <v>16925930.24</v>
      </c>
      <c r="M69" s="25">
        <f t="shared" si="24"/>
        <v>-0.001825152860845074</v>
      </c>
      <c r="N69" s="10"/>
      <c r="R69" s="2"/>
    </row>
    <row r="70" spans="1:18" ht="15.75">
      <c r="A70" s="19"/>
      <c r="B70" s="20">
        <f>DATE(2013,4,1)</f>
        <v>41365</v>
      </c>
      <c r="C70" s="21">
        <v>324993</v>
      </c>
      <c r="D70" s="21">
        <v>370877</v>
      </c>
      <c r="E70" s="23">
        <f t="shared" si="20"/>
        <v>-0.12371756674045573</v>
      </c>
      <c r="F70" s="21">
        <f>+C70-151568</f>
        <v>173425</v>
      </c>
      <c r="G70" s="21">
        <f>+D70-173499</f>
        <v>197378</v>
      </c>
      <c r="H70" s="23">
        <f t="shared" si="21"/>
        <v>-0.12135597685658989</v>
      </c>
      <c r="I70" s="24">
        <f t="shared" si="22"/>
        <v>46.2437300495703</v>
      </c>
      <c r="J70" s="24">
        <f t="shared" si="23"/>
        <v>86.65929687184662</v>
      </c>
      <c r="K70" s="21">
        <v>15028888.56</v>
      </c>
      <c r="L70" s="21">
        <v>15757801.43</v>
      </c>
      <c r="M70" s="25">
        <f t="shared" si="24"/>
        <v>-0.04625726966023833</v>
      </c>
      <c r="N70" s="10"/>
      <c r="R70" s="2"/>
    </row>
    <row r="71" spans="1:18" ht="15.75" thickBot="1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39" t="s">
        <v>14</v>
      </c>
      <c r="B72" s="40"/>
      <c r="C72" s="41">
        <f>SUM(C61:C71)</f>
        <v>3491064</v>
      </c>
      <c r="D72" s="41">
        <f>SUM(D61:D71)</f>
        <v>4005691</v>
      </c>
      <c r="E72" s="47">
        <f>(+C72-D72)/D72</f>
        <v>-0.12847396366819108</v>
      </c>
      <c r="F72" s="48">
        <f>SUM(F61:F71)</f>
        <v>1857829</v>
      </c>
      <c r="G72" s="49">
        <f>SUM(G61:G71)</f>
        <v>2101929</v>
      </c>
      <c r="H72" s="50">
        <f>(+F72-G72)/G72</f>
        <v>-0.11613142023350931</v>
      </c>
      <c r="I72" s="51">
        <f>K72/C72</f>
        <v>42.9817473899075</v>
      </c>
      <c r="J72" s="52">
        <f>K72/F72</f>
        <v>80.76740699493872</v>
      </c>
      <c r="K72" s="49">
        <f>SUM(K61:K71)</f>
        <v>150052030.97000003</v>
      </c>
      <c r="L72" s="48">
        <f>SUM(L61:L71)</f>
        <v>159221626.05</v>
      </c>
      <c r="M72" s="45">
        <f>(+K72-L72)/L72</f>
        <v>-0.05759013588468488</v>
      </c>
      <c r="N72" s="10"/>
      <c r="R72" s="2"/>
    </row>
    <row r="73" spans="1:18" ht="16.5" thickTop="1">
      <c r="A73" s="279"/>
      <c r="B73" s="46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>
      <c r="A74" s="281" t="s">
        <v>67</v>
      </c>
      <c r="B74" s="20">
        <f>DATE(2012,10,1)</f>
        <v>41183</v>
      </c>
      <c r="C74" s="21">
        <v>20777</v>
      </c>
      <c r="D74" s="21">
        <v>0</v>
      </c>
      <c r="E74" s="23">
        <v>1</v>
      </c>
      <c r="F74" s="21">
        <f>+C74-10074</f>
        <v>10703</v>
      </c>
      <c r="G74" s="21">
        <v>0</v>
      </c>
      <c r="H74" s="23">
        <v>1</v>
      </c>
      <c r="I74" s="24">
        <f aca="true" t="shared" si="25" ref="I74:I80">K74/C74</f>
        <v>29.550987149251576</v>
      </c>
      <c r="J74" s="24">
        <f aca="true" t="shared" si="26" ref="J74:J80">K74/F74</f>
        <v>57.36530505465757</v>
      </c>
      <c r="K74" s="21">
        <v>613980.86</v>
      </c>
      <c r="L74" s="21">
        <v>0</v>
      </c>
      <c r="M74" s="25">
        <v>1</v>
      </c>
      <c r="N74" s="10"/>
      <c r="R74" s="2"/>
    </row>
    <row r="75" spans="1:18" ht="15.75">
      <c r="A75" s="281"/>
      <c r="B75" s="20">
        <f>DATE(2012,11,1)</f>
        <v>41214</v>
      </c>
      <c r="C75" s="21">
        <v>211077</v>
      </c>
      <c r="D75" s="21">
        <v>0</v>
      </c>
      <c r="E75" s="23">
        <v>1</v>
      </c>
      <c r="F75" s="21">
        <f>+C75-100693</f>
        <v>110384</v>
      </c>
      <c r="G75" s="21">
        <v>0</v>
      </c>
      <c r="H75" s="23">
        <v>1</v>
      </c>
      <c r="I75" s="24">
        <f t="shared" si="25"/>
        <v>25.527351298341365</v>
      </c>
      <c r="J75" s="24">
        <f t="shared" si="26"/>
        <v>48.81356654949993</v>
      </c>
      <c r="K75" s="21">
        <v>5388236.73</v>
      </c>
      <c r="L75" s="21">
        <v>0</v>
      </c>
      <c r="M75" s="25">
        <v>1</v>
      </c>
      <c r="N75" s="10"/>
      <c r="R75" s="2"/>
    </row>
    <row r="76" spans="1:18" ht="15.75">
      <c r="A76" s="281"/>
      <c r="B76" s="20">
        <f>DATE(2012,12,1)</f>
        <v>41244</v>
      </c>
      <c r="C76" s="21">
        <v>191763</v>
      </c>
      <c r="D76" s="21">
        <v>0</v>
      </c>
      <c r="E76" s="23">
        <v>1</v>
      </c>
      <c r="F76" s="21">
        <f>+C76-100626</f>
        <v>91137</v>
      </c>
      <c r="G76" s="21">
        <v>0</v>
      </c>
      <c r="H76" s="23">
        <v>1</v>
      </c>
      <c r="I76" s="24">
        <f t="shared" si="25"/>
        <v>28.581456537496805</v>
      </c>
      <c r="J76" s="24">
        <f t="shared" si="26"/>
        <v>60.13875648748587</v>
      </c>
      <c r="K76" s="21">
        <v>5480865.85</v>
      </c>
      <c r="L76" s="21">
        <v>0</v>
      </c>
      <c r="M76" s="25">
        <v>1</v>
      </c>
      <c r="N76" s="10"/>
      <c r="R76" s="2"/>
    </row>
    <row r="77" spans="1:18" ht="15.75">
      <c r="A77" s="281"/>
      <c r="B77" s="20">
        <f>DATE(2013,1,1)</f>
        <v>41275</v>
      </c>
      <c r="C77" s="21">
        <v>187440</v>
      </c>
      <c r="D77" s="21">
        <v>0</v>
      </c>
      <c r="E77" s="23">
        <v>1</v>
      </c>
      <c r="F77" s="21">
        <f>+C77-104717</f>
        <v>82723</v>
      </c>
      <c r="G77" s="21">
        <v>0</v>
      </c>
      <c r="H77" s="23">
        <v>1</v>
      </c>
      <c r="I77" s="24">
        <f t="shared" si="25"/>
        <v>25.872094910371317</v>
      </c>
      <c r="J77" s="24">
        <f t="shared" si="26"/>
        <v>58.62294005294779</v>
      </c>
      <c r="K77" s="21">
        <v>4849465.47</v>
      </c>
      <c r="L77" s="21">
        <v>0</v>
      </c>
      <c r="M77" s="25">
        <v>1</v>
      </c>
      <c r="N77" s="10"/>
      <c r="R77" s="2"/>
    </row>
    <row r="78" spans="1:18" ht="15.75">
      <c r="A78" s="281"/>
      <c r="B78" s="20">
        <f>DATE(2013,2,1)</f>
        <v>41306</v>
      </c>
      <c r="C78" s="21">
        <v>236154</v>
      </c>
      <c r="D78" s="21">
        <v>0</v>
      </c>
      <c r="E78" s="23">
        <v>1</v>
      </c>
      <c r="F78" s="21">
        <f>+C78-133132</f>
        <v>103022</v>
      </c>
      <c r="G78" s="21">
        <v>0</v>
      </c>
      <c r="H78" s="23">
        <v>1</v>
      </c>
      <c r="I78" s="24">
        <f t="shared" si="25"/>
        <v>28.027411350220618</v>
      </c>
      <c r="J78" s="24">
        <f t="shared" si="26"/>
        <v>64.24632893944982</v>
      </c>
      <c r="K78" s="21">
        <v>6618785.3</v>
      </c>
      <c r="L78" s="21">
        <v>0</v>
      </c>
      <c r="M78" s="25">
        <v>1</v>
      </c>
      <c r="N78" s="10"/>
      <c r="R78" s="2"/>
    </row>
    <row r="79" spans="1:18" ht="15.75">
      <c r="A79" s="281"/>
      <c r="B79" s="20">
        <f>DATE(2013,3,1)</f>
        <v>41334</v>
      </c>
      <c r="C79" s="21">
        <v>288867</v>
      </c>
      <c r="D79" s="21">
        <v>0</v>
      </c>
      <c r="E79" s="23">
        <v>1</v>
      </c>
      <c r="F79" s="21">
        <f>+C79-165867</f>
        <v>123000</v>
      </c>
      <c r="G79" s="21">
        <v>0</v>
      </c>
      <c r="H79" s="23">
        <v>1</v>
      </c>
      <c r="I79" s="24">
        <f t="shared" si="25"/>
        <v>26.34726372344366</v>
      </c>
      <c r="J79" s="24">
        <f t="shared" si="26"/>
        <v>61.87687016260163</v>
      </c>
      <c r="K79" s="21">
        <v>7610855.03</v>
      </c>
      <c r="L79" s="21">
        <v>0</v>
      </c>
      <c r="M79" s="25">
        <v>1</v>
      </c>
      <c r="N79" s="10"/>
      <c r="R79" s="2"/>
    </row>
    <row r="80" spans="1:18" ht="15.75">
      <c r="A80" s="281"/>
      <c r="B80" s="20">
        <f>DATE(2013,4,1)</f>
        <v>41365</v>
      </c>
      <c r="C80" s="21">
        <v>197111</v>
      </c>
      <c r="D80" s="21">
        <v>0</v>
      </c>
      <c r="E80" s="23">
        <v>1</v>
      </c>
      <c r="F80" s="21">
        <f>+C80-115215</f>
        <v>81896</v>
      </c>
      <c r="G80" s="21">
        <v>0</v>
      </c>
      <c r="H80" s="23">
        <v>1</v>
      </c>
      <c r="I80" s="24">
        <f t="shared" si="25"/>
        <v>28.84074836006108</v>
      </c>
      <c r="J80" s="24">
        <f t="shared" si="26"/>
        <v>69.41521869199961</v>
      </c>
      <c r="K80" s="21">
        <v>5684828.75</v>
      </c>
      <c r="L80" s="21">
        <v>0</v>
      </c>
      <c r="M80" s="25">
        <v>1</v>
      </c>
      <c r="N80" s="10"/>
      <c r="R80" s="2"/>
    </row>
    <row r="81" spans="1:18" ht="16.5" thickBot="1">
      <c r="A81" s="19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7.25" customHeight="1" thickBot="1" thickTop="1">
      <c r="A82" s="39" t="s">
        <v>14</v>
      </c>
      <c r="B82" s="53"/>
      <c r="C82" s="48">
        <f>SUM(C74:C81)</f>
        <v>1333189</v>
      </c>
      <c r="D82" s="49">
        <f>SUM(D74:D81)</f>
        <v>0</v>
      </c>
      <c r="E82" s="47">
        <v>1</v>
      </c>
      <c r="F82" s="49">
        <f>SUM(F74:F81)</f>
        <v>602865</v>
      </c>
      <c r="G82" s="48">
        <f>SUM(G74:G81)</f>
        <v>0</v>
      </c>
      <c r="H82" s="54">
        <v>1</v>
      </c>
      <c r="I82" s="52">
        <f>K82/C82</f>
        <v>27.188206615866168</v>
      </c>
      <c r="J82" s="51">
        <f>K82/F82</f>
        <v>60.12460167699236</v>
      </c>
      <c r="K82" s="48">
        <f>SUM(K74:K81)</f>
        <v>36247017.99</v>
      </c>
      <c r="L82" s="49">
        <f>SUM(L74:L81)</f>
        <v>0</v>
      </c>
      <c r="M82" s="45">
        <v>1</v>
      </c>
      <c r="N82" s="10"/>
      <c r="R82" s="2"/>
    </row>
    <row r="83" spans="1:18" ht="15.75" customHeight="1" thickTop="1">
      <c r="A83" s="19"/>
      <c r="B83" s="46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.75">
      <c r="A84" s="19" t="s">
        <v>17</v>
      </c>
      <c r="B84" s="20">
        <f>DATE(2012,7,1)</f>
        <v>41091</v>
      </c>
      <c r="C84" s="21">
        <v>249746</v>
      </c>
      <c r="D84" s="21">
        <v>271052</v>
      </c>
      <c r="E84" s="23">
        <f aca="true" t="shared" si="27" ref="E84:E93">(+C84-D84)/D84</f>
        <v>-0.0786048433510913</v>
      </c>
      <c r="F84" s="21">
        <f>+C84-122665</f>
        <v>127081</v>
      </c>
      <c r="G84" s="21">
        <f>+D84-131080</f>
        <v>139972</v>
      </c>
      <c r="H84" s="23">
        <f aca="true" t="shared" si="28" ref="H84:H93">(+F84-G84)/G84</f>
        <v>-0.09209699082673678</v>
      </c>
      <c r="I84" s="24">
        <f aca="true" t="shared" si="29" ref="I84:I93">K84/C84</f>
        <v>26.65383565702754</v>
      </c>
      <c r="J84" s="24">
        <f aca="true" t="shared" si="30" ref="J84:J93">K84/F84</f>
        <v>52.38146410557046</v>
      </c>
      <c r="K84" s="21">
        <v>6656688.84</v>
      </c>
      <c r="L84" s="21">
        <v>7288700.95</v>
      </c>
      <c r="M84" s="25">
        <f aca="true" t="shared" si="31" ref="M84:M93">(+K84-L84)/L84</f>
        <v>-0.08671121429395458</v>
      </c>
      <c r="N84" s="10"/>
      <c r="R84" s="2"/>
    </row>
    <row r="85" spans="1:18" ht="15.75">
      <c r="A85" s="19"/>
      <c r="B85" s="20">
        <f>DATE(2012,8,1)</f>
        <v>41122</v>
      </c>
      <c r="C85" s="21">
        <v>250066</v>
      </c>
      <c r="D85" s="21">
        <v>279281</v>
      </c>
      <c r="E85" s="23">
        <f t="shared" si="27"/>
        <v>-0.104607903867431</v>
      </c>
      <c r="F85" s="21">
        <f>+C85-122530</f>
        <v>127536</v>
      </c>
      <c r="G85" s="21">
        <f>+D85-136176</f>
        <v>143105</v>
      </c>
      <c r="H85" s="23">
        <f t="shared" si="28"/>
        <v>-0.10879424199014709</v>
      </c>
      <c r="I85" s="24">
        <f t="shared" si="29"/>
        <v>27.334601145297643</v>
      </c>
      <c r="J85" s="24">
        <f t="shared" si="30"/>
        <v>53.59627375799774</v>
      </c>
      <c r="K85" s="21">
        <v>6835454.37</v>
      </c>
      <c r="L85" s="21">
        <v>7154933.12</v>
      </c>
      <c r="M85" s="25">
        <f t="shared" si="31"/>
        <v>-0.044651535470956294</v>
      </c>
      <c r="N85" s="10"/>
      <c r="R85" s="2"/>
    </row>
    <row r="86" spans="1:18" ht="15.75">
      <c r="A86" s="19"/>
      <c r="B86" s="20">
        <f>DATE(2012,9,1)</f>
        <v>41153</v>
      </c>
      <c r="C86" s="21">
        <v>246236</v>
      </c>
      <c r="D86" s="21">
        <v>258947</v>
      </c>
      <c r="E86" s="23">
        <f t="shared" si="27"/>
        <v>-0.04908726496155584</v>
      </c>
      <c r="F86" s="21">
        <f>+C86-126830</f>
        <v>119406</v>
      </c>
      <c r="G86" s="21">
        <f>+D86-125392</f>
        <v>133555</v>
      </c>
      <c r="H86" s="23">
        <f t="shared" si="28"/>
        <v>-0.1059413724682715</v>
      </c>
      <c r="I86" s="24">
        <f t="shared" si="29"/>
        <v>26.083494655533713</v>
      </c>
      <c r="J86" s="24">
        <f t="shared" si="30"/>
        <v>53.78871572617791</v>
      </c>
      <c r="K86" s="21">
        <v>6422695.39</v>
      </c>
      <c r="L86" s="21">
        <v>6950645.7</v>
      </c>
      <c r="M86" s="25">
        <f t="shared" si="31"/>
        <v>-0.07595701648265578</v>
      </c>
      <c r="N86" s="10"/>
      <c r="R86" s="2"/>
    </row>
    <row r="87" spans="1:18" ht="15.75">
      <c r="A87" s="19"/>
      <c r="B87" s="20">
        <f>DATE(2012,10,1)</f>
        <v>41183</v>
      </c>
      <c r="C87" s="21">
        <v>229601</v>
      </c>
      <c r="D87" s="21">
        <v>268815</v>
      </c>
      <c r="E87" s="23">
        <f t="shared" si="27"/>
        <v>-0.14587727619366478</v>
      </c>
      <c r="F87" s="21">
        <f>+C87-111376</f>
        <v>118225</v>
      </c>
      <c r="G87" s="21">
        <f>+D87-135203</f>
        <v>133612</v>
      </c>
      <c r="H87" s="23">
        <f t="shared" si="28"/>
        <v>-0.11516181181331019</v>
      </c>
      <c r="I87" s="24">
        <f t="shared" si="29"/>
        <v>27.99301557920044</v>
      </c>
      <c r="J87" s="24">
        <f t="shared" si="30"/>
        <v>54.36434231338549</v>
      </c>
      <c r="K87" s="21">
        <v>6427224.37</v>
      </c>
      <c r="L87" s="21">
        <v>6952147.91</v>
      </c>
      <c r="M87" s="25">
        <f t="shared" si="31"/>
        <v>-0.07550523187876192</v>
      </c>
      <c r="N87" s="10"/>
      <c r="R87" s="2"/>
    </row>
    <row r="88" spans="1:18" ht="15.75">
      <c r="A88" s="19"/>
      <c r="B88" s="20">
        <f>DATE(2012,11,1)</f>
        <v>41214</v>
      </c>
      <c r="C88" s="21">
        <v>229725</v>
      </c>
      <c r="D88" s="21">
        <v>240688</v>
      </c>
      <c r="E88" s="23">
        <f t="shared" si="27"/>
        <v>-0.04554859403044605</v>
      </c>
      <c r="F88" s="21">
        <f>+C88-107065</f>
        <v>122660</v>
      </c>
      <c r="G88" s="21">
        <f>+D88-116896</f>
        <v>123792</v>
      </c>
      <c r="H88" s="23">
        <f t="shared" si="28"/>
        <v>-0.009144371203308776</v>
      </c>
      <c r="I88" s="24">
        <f t="shared" si="29"/>
        <v>27.6340643813255</v>
      </c>
      <c r="J88" s="24">
        <f t="shared" si="30"/>
        <v>51.75473210500571</v>
      </c>
      <c r="K88" s="21">
        <v>6348235.44</v>
      </c>
      <c r="L88" s="21">
        <v>6622191.95</v>
      </c>
      <c r="M88" s="25">
        <f t="shared" si="31"/>
        <v>-0.041369460756872166</v>
      </c>
      <c r="N88" s="10"/>
      <c r="R88" s="2"/>
    </row>
    <row r="89" spans="1:18" ht="15.75">
      <c r="A89" s="19"/>
      <c r="B89" s="20">
        <f>DATE(2012,12,1)</f>
        <v>41244</v>
      </c>
      <c r="C89" s="21">
        <v>234384</v>
      </c>
      <c r="D89" s="21">
        <v>249066</v>
      </c>
      <c r="E89" s="23">
        <f t="shared" si="27"/>
        <v>-0.05894823058948231</v>
      </c>
      <c r="F89" s="21">
        <f>+C89-110998</f>
        <v>123386</v>
      </c>
      <c r="G89" s="21">
        <f>+D89-122439</f>
        <v>126627</v>
      </c>
      <c r="H89" s="23">
        <f t="shared" si="28"/>
        <v>-0.025594857336902872</v>
      </c>
      <c r="I89" s="24">
        <f t="shared" si="29"/>
        <v>27.66110954672674</v>
      </c>
      <c r="J89" s="24">
        <f t="shared" si="30"/>
        <v>52.545033472192955</v>
      </c>
      <c r="K89" s="21">
        <v>6483321.5</v>
      </c>
      <c r="L89" s="21">
        <v>7114843.91</v>
      </c>
      <c r="M89" s="25">
        <f t="shared" si="31"/>
        <v>-0.08876124592310278</v>
      </c>
      <c r="N89" s="10"/>
      <c r="R89" s="2"/>
    </row>
    <row r="90" spans="1:18" ht="15.75">
      <c r="A90" s="19"/>
      <c r="B90" s="20">
        <f>DATE(2013,1,1)</f>
        <v>41275</v>
      </c>
      <c r="C90" s="21">
        <v>217415</v>
      </c>
      <c r="D90" s="21">
        <v>266875</v>
      </c>
      <c r="E90" s="23">
        <f t="shared" si="27"/>
        <v>-0.18533021077283374</v>
      </c>
      <c r="F90" s="21">
        <f>+C90-104400</f>
        <v>113015</v>
      </c>
      <c r="G90" s="21">
        <f>+D90-129574</f>
        <v>137301</v>
      </c>
      <c r="H90" s="23">
        <f t="shared" si="28"/>
        <v>-0.17688145024435364</v>
      </c>
      <c r="I90" s="24">
        <f t="shared" si="29"/>
        <v>28.208556631327184</v>
      </c>
      <c r="J90" s="24">
        <f t="shared" si="30"/>
        <v>54.266808299783214</v>
      </c>
      <c r="K90" s="21">
        <v>6132963.34</v>
      </c>
      <c r="L90" s="21">
        <v>7041413.1</v>
      </c>
      <c r="M90" s="25">
        <f t="shared" si="31"/>
        <v>-0.1290152625756327</v>
      </c>
      <c r="N90" s="10"/>
      <c r="R90" s="2"/>
    </row>
    <row r="91" spans="1:18" ht="15.75">
      <c r="A91" s="19"/>
      <c r="B91" s="20">
        <f>DATE(2013,2,1)</f>
        <v>41306</v>
      </c>
      <c r="C91" s="21">
        <v>222200</v>
      </c>
      <c r="D91" s="21">
        <v>269768</v>
      </c>
      <c r="E91" s="23">
        <f t="shared" si="27"/>
        <v>-0.17632929035319236</v>
      </c>
      <c r="F91" s="21">
        <f>+C91-110944</f>
        <v>111256</v>
      </c>
      <c r="G91" s="21">
        <f>+D91-132236</f>
        <v>137532</v>
      </c>
      <c r="H91" s="23">
        <f t="shared" si="28"/>
        <v>-0.19105371840735247</v>
      </c>
      <c r="I91" s="24">
        <f t="shared" si="29"/>
        <v>29.213173582358234</v>
      </c>
      <c r="J91" s="24">
        <f t="shared" si="30"/>
        <v>58.344423401883944</v>
      </c>
      <c r="K91" s="21">
        <v>6491167.17</v>
      </c>
      <c r="L91" s="21">
        <v>8012943.77</v>
      </c>
      <c r="M91" s="25">
        <f t="shared" si="31"/>
        <v>-0.18991479831637453</v>
      </c>
      <c r="N91" s="10"/>
      <c r="R91" s="2"/>
    </row>
    <row r="92" spans="1:18" ht="15.75">
      <c r="A92" s="19"/>
      <c r="B92" s="20">
        <f>DATE(2013,3,1)</f>
        <v>41334</v>
      </c>
      <c r="C92" s="21">
        <v>252429</v>
      </c>
      <c r="D92" s="21">
        <v>280392</v>
      </c>
      <c r="E92" s="23">
        <f t="shared" si="27"/>
        <v>-0.09972823761020286</v>
      </c>
      <c r="F92" s="21">
        <f>+C92-126342</f>
        <v>126087</v>
      </c>
      <c r="G92" s="21">
        <f>+D92-135146</f>
        <v>145246</v>
      </c>
      <c r="H92" s="23">
        <f t="shared" si="28"/>
        <v>-0.13190724701540835</v>
      </c>
      <c r="I92" s="24">
        <f t="shared" si="29"/>
        <v>29.553658890222597</v>
      </c>
      <c r="J92" s="24">
        <f t="shared" si="30"/>
        <v>59.167087487211205</v>
      </c>
      <c r="K92" s="21">
        <v>7460200.56</v>
      </c>
      <c r="L92" s="21">
        <v>7934886.63</v>
      </c>
      <c r="M92" s="25">
        <f t="shared" si="31"/>
        <v>-0.059822665670523925</v>
      </c>
      <c r="N92" s="10"/>
      <c r="R92" s="2"/>
    </row>
    <row r="93" spans="1:18" ht="15.75">
      <c r="A93" s="19"/>
      <c r="B93" s="20">
        <f>DATE(2013,4,1)</f>
        <v>41365</v>
      </c>
      <c r="C93" s="21">
        <v>237204</v>
      </c>
      <c r="D93" s="21">
        <v>253763</v>
      </c>
      <c r="E93" s="23">
        <f t="shared" si="27"/>
        <v>-0.06525379980533016</v>
      </c>
      <c r="F93" s="21">
        <f>+C93-113638</f>
        <v>123566</v>
      </c>
      <c r="G93" s="21">
        <f>+D93-124122</f>
        <v>129641</v>
      </c>
      <c r="H93" s="23">
        <f t="shared" si="28"/>
        <v>-0.0468601754074714</v>
      </c>
      <c r="I93" s="24">
        <f t="shared" si="29"/>
        <v>28.834611052090185</v>
      </c>
      <c r="J93" s="24">
        <f t="shared" si="30"/>
        <v>55.352484340352525</v>
      </c>
      <c r="K93" s="21">
        <v>6839685.08</v>
      </c>
      <c r="L93" s="21">
        <v>7077046.92</v>
      </c>
      <c r="M93" s="25">
        <f t="shared" si="31"/>
        <v>-0.03353967307030371</v>
      </c>
      <c r="N93" s="10"/>
      <c r="R93" s="2"/>
    </row>
    <row r="94" spans="1:18" ht="17.25" customHeight="1" thickBot="1">
      <c r="A94" s="19"/>
      <c r="B94" s="46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customHeight="1" thickBot="1" thickTop="1">
      <c r="A95" s="39" t="s">
        <v>14</v>
      </c>
      <c r="B95" s="53"/>
      <c r="C95" s="48">
        <f>SUM(C84:C94)</f>
        <v>2369006</v>
      </c>
      <c r="D95" s="49">
        <f>SUM(D84:D94)</f>
        <v>2638647</v>
      </c>
      <c r="E95" s="47">
        <f>(+C95-D95)/D95</f>
        <v>-0.10218911434534442</v>
      </c>
      <c r="F95" s="49">
        <f>SUM(F84:F94)</f>
        <v>1212218</v>
      </c>
      <c r="G95" s="48">
        <f>SUM(G84:G94)</f>
        <v>1350383</v>
      </c>
      <c r="H95" s="54">
        <f>(+F95-G95)/G95</f>
        <v>-0.10231541718164402</v>
      </c>
      <c r="I95" s="52">
        <f>K95/C95</f>
        <v>27.900999853947184</v>
      </c>
      <c r="J95" s="51">
        <f>K95/F95</f>
        <v>54.52619583276275</v>
      </c>
      <c r="K95" s="48">
        <f>SUM(K84:K94)</f>
        <v>66097636.06</v>
      </c>
      <c r="L95" s="49">
        <f>SUM(L84:L94)</f>
        <v>72149753.96000001</v>
      </c>
      <c r="M95" s="45">
        <f>(+K95-L95)/L95</f>
        <v>-0.08388272402640921</v>
      </c>
      <c r="N95" s="10"/>
      <c r="R95" s="2"/>
    </row>
    <row r="96" spans="1:18" ht="15.75" customHeight="1" thickTop="1">
      <c r="A96" s="19"/>
      <c r="B96" s="46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 customHeight="1">
      <c r="A97" s="19" t="s">
        <v>57</v>
      </c>
      <c r="B97" s="20">
        <f>DATE(2012,7,1)</f>
        <v>41091</v>
      </c>
      <c r="C97" s="21">
        <v>480431</v>
      </c>
      <c r="D97" s="21">
        <v>570848</v>
      </c>
      <c r="E97" s="23">
        <f aca="true" t="shared" si="32" ref="E97:E106">(+C97-D97)/D97</f>
        <v>-0.15839067492572453</v>
      </c>
      <c r="F97" s="21">
        <f>+C97-242307</f>
        <v>238124</v>
      </c>
      <c r="G97" s="21">
        <f>+D97-276852</f>
        <v>293996</v>
      </c>
      <c r="H97" s="23">
        <f aca="true" t="shared" si="33" ref="H97:H106">(+F97-G97)/G97</f>
        <v>-0.19004340195104696</v>
      </c>
      <c r="I97" s="24">
        <f aca="true" t="shared" si="34" ref="I97:I106">K97/C97</f>
        <v>28.798141710255997</v>
      </c>
      <c r="J97" s="24">
        <f aca="true" t="shared" si="35" ref="J97:J106">K97/F97</f>
        <v>58.10216534242663</v>
      </c>
      <c r="K97" s="21">
        <v>13835520.02</v>
      </c>
      <c r="L97" s="21">
        <v>15186396.75</v>
      </c>
      <c r="M97" s="25">
        <f aca="true" t="shared" si="36" ref="M97:M106">(+K97-L97)/L97</f>
        <v>-0.08895307769435172</v>
      </c>
      <c r="N97" s="10"/>
      <c r="R97" s="2"/>
    </row>
    <row r="98" spans="1:18" ht="15.75" customHeight="1">
      <c r="A98" s="19"/>
      <c r="B98" s="20">
        <f>DATE(2012,8,1)</f>
        <v>41122</v>
      </c>
      <c r="C98" s="21">
        <v>464443</v>
      </c>
      <c r="D98" s="21">
        <v>520239</v>
      </c>
      <c r="E98" s="23">
        <f t="shared" si="32"/>
        <v>-0.10725070592554575</v>
      </c>
      <c r="F98" s="21">
        <f>+C98-232764</f>
        <v>231679</v>
      </c>
      <c r="G98" s="21">
        <f>+D98-247111</f>
        <v>273128</v>
      </c>
      <c r="H98" s="23">
        <f t="shared" si="33"/>
        <v>-0.1517566855100905</v>
      </c>
      <c r="I98" s="24">
        <f t="shared" si="34"/>
        <v>29.7440843548078</v>
      </c>
      <c r="J98" s="24">
        <f t="shared" si="35"/>
        <v>59.627466321936815</v>
      </c>
      <c r="K98" s="21">
        <v>13814431.77</v>
      </c>
      <c r="L98" s="21">
        <v>13753591.69</v>
      </c>
      <c r="M98" s="25">
        <f t="shared" si="36"/>
        <v>0.004423577591316445</v>
      </c>
      <c r="N98" s="10"/>
      <c r="R98" s="2"/>
    </row>
    <row r="99" spans="1:18" ht="15.75" customHeight="1">
      <c r="A99" s="19"/>
      <c r="B99" s="20">
        <f>DATE(2012,9,1)</f>
        <v>41153</v>
      </c>
      <c r="C99" s="21">
        <v>436431</v>
      </c>
      <c r="D99" s="21">
        <v>532718</v>
      </c>
      <c r="E99" s="23">
        <f t="shared" si="32"/>
        <v>-0.18074666146066024</v>
      </c>
      <c r="F99" s="21">
        <f>+C99-217832</f>
        <v>218599</v>
      </c>
      <c r="G99" s="21">
        <f>+D99-257415</f>
        <v>275303</v>
      </c>
      <c r="H99" s="23">
        <f t="shared" si="33"/>
        <v>-0.20596942278144445</v>
      </c>
      <c r="I99" s="24">
        <f t="shared" si="34"/>
        <v>30.28548831315832</v>
      </c>
      <c r="J99" s="24">
        <f t="shared" si="35"/>
        <v>60.464713699513716</v>
      </c>
      <c r="K99" s="21">
        <v>13217525.95</v>
      </c>
      <c r="L99" s="21">
        <v>14486323.32</v>
      </c>
      <c r="M99" s="25">
        <f t="shared" si="36"/>
        <v>-0.08758587958949414</v>
      </c>
      <c r="N99" s="10"/>
      <c r="R99" s="2"/>
    </row>
    <row r="100" spans="1:18" ht="15.75" customHeight="1">
      <c r="A100" s="19"/>
      <c r="B100" s="20">
        <f>DATE(2012,10,1)</f>
        <v>41183</v>
      </c>
      <c r="C100" s="21">
        <v>413866</v>
      </c>
      <c r="D100" s="21">
        <v>514282</v>
      </c>
      <c r="E100" s="23">
        <f t="shared" si="32"/>
        <v>-0.1952547435064809</v>
      </c>
      <c r="F100" s="21">
        <f>+C100-208856</f>
        <v>205010</v>
      </c>
      <c r="G100" s="21">
        <f>+D100-248062</f>
        <v>266220</v>
      </c>
      <c r="H100" s="23">
        <f t="shared" si="33"/>
        <v>-0.22992262038915182</v>
      </c>
      <c r="I100" s="24">
        <f t="shared" si="34"/>
        <v>32.1101888775594</v>
      </c>
      <c r="J100" s="24">
        <f t="shared" si="35"/>
        <v>64.82276684064192</v>
      </c>
      <c r="K100" s="21">
        <v>13289315.43</v>
      </c>
      <c r="L100" s="21">
        <v>13970258.77</v>
      </c>
      <c r="M100" s="25">
        <f t="shared" si="36"/>
        <v>-0.04874235697496675</v>
      </c>
      <c r="N100" s="10"/>
      <c r="R100" s="2"/>
    </row>
    <row r="101" spans="1:18" ht="15.75" customHeight="1">
      <c r="A101" s="19"/>
      <c r="B101" s="20">
        <f>DATE(2012,11,1)</f>
        <v>41214</v>
      </c>
      <c r="C101" s="21">
        <v>399363</v>
      </c>
      <c r="D101" s="21">
        <v>471192</v>
      </c>
      <c r="E101" s="23">
        <f t="shared" si="32"/>
        <v>-0.15244104314164927</v>
      </c>
      <c r="F101" s="21">
        <f>+C101-204871</f>
        <v>194492</v>
      </c>
      <c r="G101" s="21">
        <f>+D101-231470</f>
        <v>239722</v>
      </c>
      <c r="H101" s="23">
        <f t="shared" si="33"/>
        <v>-0.18867688405736646</v>
      </c>
      <c r="I101" s="24">
        <f t="shared" si="34"/>
        <v>32.53212040173977</v>
      </c>
      <c r="J101" s="24">
        <f t="shared" si="35"/>
        <v>66.80030643933941</v>
      </c>
      <c r="K101" s="21">
        <v>12992125.2</v>
      </c>
      <c r="L101" s="21">
        <v>13212391</v>
      </c>
      <c r="M101" s="25">
        <f t="shared" si="36"/>
        <v>-0.01667115361632885</v>
      </c>
      <c r="N101" s="10"/>
      <c r="R101" s="2"/>
    </row>
    <row r="102" spans="1:18" ht="15.75" customHeight="1">
      <c r="A102" s="19"/>
      <c r="B102" s="20">
        <f>DATE(2012,12,1)</f>
        <v>41244</v>
      </c>
      <c r="C102" s="21">
        <v>423904</v>
      </c>
      <c r="D102" s="21">
        <v>486386</v>
      </c>
      <c r="E102" s="23">
        <f t="shared" si="32"/>
        <v>-0.12846175671174745</v>
      </c>
      <c r="F102" s="21">
        <f>+C102-218524</f>
        <v>205380</v>
      </c>
      <c r="G102" s="21">
        <f>+D102-245438</f>
        <v>240948</v>
      </c>
      <c r="H102" s="23">
        <f t="shared" si="33"/>
        <v>-0.14761691319288808</v>
      </c>
      <c r="I102" s="24">
        <f t="shared" si="34"/>
        <v>31.555747810825093</v>
      </c>
      <c r="J102" s="24">
        <f t="shared" si="35"/>
        <v>65.13101431492842</v>
      </c>
      <c r="K102" s="21">
        <v>13376607.72</v>
      </c>
      <c r="L102" s="21">
        <v>13410033.73</v>
      </c>
      <c r="M102" s="25">
        <f t="shared" si="36"/>
        <v>-0.002492611925741948</v>
      </c>
      <c r="N102" s="10"/>
      <c r="R102" s="2"/>
    </row>
    <row r="103" spans="1:18" ht="15.75" customHeight="1">
      <c r="A103" s="19"/>
      <c r="B103" s="20">
        <f>DATE(2013,1,1)</f>
        <v>41275</v>
      </c>
      <c r="C103" s="21">
        <v>368958</v>
      </c>
      <c r="D103" s="21">
        <v>448330</v>
      </c>
      <c r="E103" s="23">
        <f t="shared" si="32"/>
        <v>-0.17703923449244977</v>
      </c>
      <c r="F103" s="21">
        <f>+C103-190073</f>
        <v>178885</v>
      </c>
      <c r="G103" s="21">
        <f>+D103-232641</f>
        <v>215689</v>
      </c>
      <c r="H103" s="23">
        <f t="shared" si="33"/>
        <v>-0.17063457107223826</v>
      </c>
      <c r="I103" s="24">
        <f t="shared" si="34"/>
        <v>32.4954792957464</v>
      </c>
      <c r="J103" s="24">
        <f t="shared" si="35"/>
        <v>67.02332252564497</v>
      </c>
      <c r="K103" s="21">
        <v>11989467.05</v>
      </c>
      <c r="L103" s="21">
        <v>12569880.28</v>
      </c>
      <c r="M103" s="25">
        <f t="shared" si="36"/>
        <v>-0.0461749210868378</v>
      </c>
      <c r="N103" s="10"/>
      <c r="R103" s="2"/>
    </row>
    <row r="104" spans="1:18" ht="15.75" customHeight="1">
      <c r="A104" s="19"/>
      <c r="B104" s="20">
        <f>DATE(2013,2,1)</f>
        <v>41306</v>
      </c>
      <c r="C104" s="21">
        <v>413371</v>
      </c>
      <c r="D104" s="21">
        <v>490243</v>
      </c>
      <c r="E104" s="23">
        <f t="shared" si="32"/>
        <v>-0.1568038707334934</v>
      </c>
      <c r="F104" s="21">
        <f>+C104-212026</f>
        <v>201345</v>
      </c>
      <c r="G104" s="21">
        <f>+D104-260086</f>
        <v>230157</v>
      </c>
      <c r="H104" s="23">
        <f t="shared" si="33"/>
        <v>-0.1251841134529908</v>
      </c>
      <c r="I104" s="24">
        <f t="shared" si="34"/>
        <v>33.60969601157314</v>
      </c>
      <c r="J104" s="24">
        <f t="shared" si="35"/>
        <v>69.00232759691077</v>
      </c>
      <c r="K104" s="21">
        <v>13893273.65</v>
      </c>
      <c r="L104" s="21">
        <v>15416373.11</v>
      </c>
      <c r="M104" s="25">
        <f t="shared" si="36"/>
        <v>-0.09879752190299701</v>
      </c>
      <c r="N104" s="10"/>
      <c r="R104" s="2"/>
    </row>
    <row r="105" spans="1:18" ht="15.75" customHeight="1">
      <c r="A105" s="19"/>
      <c r="B105" s="20">
        <f>DATE(2013,3,1)</f>
        <v>41334</v>
      </c>
      <c r="C105" s="21">
        <v>443995</v>
      </c>
      <c r="D105" s="21">
        <v>509324</v>
      </c>
      <c r="E105" s="23">
        <f t="shared" si="32"/>
        <v>-0.1282660938813015</v>
      </c>
      <c r="F105" s="21">
        <f>+C105-229812</f>
        <v>214183</v>
      </c>
      <c r="G105" s="21">
        <f>+D105-262979</f>
        <v>246345</v>
      </c>
      <c r="H105" s="23">
        <f t="shared" si="33"/>
        <v>-0.1305567395319572</v>
      </c>
      <c r="I105" s="24">
        <f t="shared" si="34"/>
        <v>33.69778220475456</v>
      </c>
      <c r="J105" s="24">
        <f t="shared" si="35"/>
        <v>69.85450203797687</v>
      </c>
      <c r="K105" s="21">
        <v>14961646.81</v>
      </c>
      <c r="L105" s="21">
        <v>15289307.33</v>
      </c>
      <c r="M105" s="25">
        <f t="shared" si="36"/>
        <v>-0.021430697475553952</v>
      </c>
      <c r="N105" s="10"/>
      <c r="R105" s="2"/>
    </row>
    <row r="106" spans="1:18" ht="15.75" customHeight="1">
      <c r="A106" s="19"/>
      <c r="B106" s="20">
        <f>DATE(2013,4,1)</f>
        <v>41365</v>
      </c>
      <c r="C106" s="21">
        <v>385105</v>
      </c>
      <c r="D106" s="21">
        <v>436162</v>
      </c>
      <c r="E106" s="23">
        <f t="shared" si="32"/>
        <v>-0.11705971634392726</v>
      </c>
      <c r="F106" s="21">
        <f>+C106-195617</f>
        <v>189488</v>
      </c>
      <c r="G106" s="21">
        <f>+D106-225186</f>
        <v>210976</v>
      </c>
      <c r="H106" s="23">
        <f t="shared" si="33"/>
        <v>-0.10185044744425906</v>
      </c>
      <c r="I106" s="24">
        <f t="shared" si="34"/>
        <v>33.62880819516755</v>
      </c>
      <c r="J106" s="24">
        <f t="shared" si="35"/>
        <v>68.34534207970952</v>
      </c>
      <c r="K106" s="21">
        <v>12950622.18</v>
      </c>
      <c r="L106" s="21">
        <v>13406223.14</v>
      </c>
      <c r="M106" s="25">
        <f t="shared" si="36"/>
        <v>-0.03398428888152916</v>
      </c>
      <c r="N106" s="10"/>
      <c r="R106" s="2"/>
    </row>
    <row r="107" spans="1:18" ht="15.75" customHeight="1" thickBot="1">
      <c r="A107" s="19"/>
      <c r="B107" s="46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7.25" thickBot="1" thickTop="1">
      <c r="A108" s="39" t="s">
        <v>14</v>
      </c>
      <c r="B108" s="40"/>
      <c r="C108" s="41">
        <f>SUM(C97:C107)</f>
        <v>4229867</v>
      </c>
      <c r="D108" s="41">
        <f>SUM(D97:D107)</f>
        <v>4979724</v>
      </c>
      <c r="E108" s="42">
        <f>(+C108-D108)/D108</f>
        <v>-0.15058204028978314</v>
      </c>
      <c r="F108" s="41">
        <f>SUM(F97:F107)</f>
        <v>2077185</v>
      </c>
      <c r="G108" s="41">
        <f>SUM(G97:G107)</f>
        <v>2492484</v>
      </c>
      <c r="H108" s="43">
        <f>(+F108-G108)/G108</f>
        <v>-0.16662052795524465</v>
      </c>
      <c r="I108" s="44">
        <f>K108/C108</f>
        <v>31.755262229285222</v>
      </c>
      <c r="J108" s="44">
        <f>K108/F108</f>
        <v>64.66469562412593</v>
      </c>
      <c r="K108" s="41">
        <f>SUM(K97:K107)</f>
        <v>134320535.78</v>
      </c>
      <c r="L108" s="41">
        <f>SUM(L97:L107)</f>
        <v>140700779.12</v>
      </c>
      <c r="M108" s="45">
        <f>(+K108-L108)/L108</f>
        <v>-0.045346183439101365</v>
      </c>
      <c r="N108" s="10"/>
      <c r="R108" s="2"/>
    </row>
    <row r="109" spans="1:18" ht="15.75" customHeight="1" thickTop="1">
      <c r="A109" s="55"/>
      <c r="B109" s="56"/>
      <c r="C109" s="56"/>
      <c r="D109" s="56"/>
      <c r="E109" s="57"/>
      <c r="F109" s="56"/>
      <c r="G109" s="56"/>
      <c r="H109" s="57"/>
      <c r="I109" s="56"/>
      <c r="J109" s="56"/>
      <c r="K109" s="200"/>
      <c r="L109" s="200"/>
      <c r="M109" s="58"/>
      <c r="N109" s="10"/>
      <c r="R109" s="2"/>
    </row>
    <row r="110" spans="1:18" ht="15.75" customHeight="1">
      <c r="A110" s="19" t="s">
        <v>18</v>
      </c>
      <c r="B110" s="20">
        <f>DATE(2012,7,1)</f>
        <v>41091</v>
      </c>
      <c r="C110" s="21">
        <v>562251</v>
      </c>
      <c r="D110" s="21">
        <v>656343</v>
      </c>
      <c r="E110" s="23">
        <f aca="true" t="shared" si="37" ref="E110:E119">(+C110-D110)/D110</f>
        <v>-0.14335796984198812</v>
      </c>
      <c r="F110" s="21">
        <f>+C110-288730</f>
        <v>273521</v>
      </c>
      <c r="G110" s="21">
        <f>+D110-343037</f>
        <v>313306</v>
      </c>
      <c r="H110" s="23">
        <f aca="true" t="shared" si="38" ref="H110:H119">(+F110-G110)/G110</f>
        <v>-0.12698448162499282</v>
      </c>
      <c r="I110" s="24">
        <f aca="true" t="shared" si="39" ref="I110:I119">K110/C110</f>
        <v>34.01055318709971</v>
      </c>
      <c r="J110" s="24">
        <f aca="true" t="shared" si="40" ref="J110:J119">K110/F110</f>
        <v>69.91224637230779</v>
      </c>
      <c r="K110" s="21">
        <v>19122467.54</v>
      </c>
      <c r="L110" s="21">
        <v>21300679.39</v>
      </c>
      <c r="M110" s="25">
        <f aca="true" t="shared" si="41" ref="M110:M119">(+K110-L110)/L110</f>
        <v>-0.1022602054196733</v>
      </c>
      <c r="N110" s="10"/>
      <c r="R110" s="2"/>
    </row>
    <row r="111" spans="1:18" ht="15.75" customHeight="1">
      <c r="A111" s="19"/>
      <c r="B111" s="20">
        <f>DATE(2012,8,1)</f>
        <v>41122</v>
      </c>
      <c r="C111" s="21">
        <v>549909</v>
      </c>
      <c r="D111" s="21">
        <v>584826</v>
      </c>
      <c r="E111" s="23">
        <f t="shared" si="37"/>
        <v>-0.05970493787895887</v>
      </c>
      <c r="F111" s="21">
        <f>+C111-281796</f>
        <v>268113</v>
      </c>
      <c r="G111" s="21">
        <f>+D111-302555</f>
        <v>282271</v>
      </c>
      <c r="H111" s="23">
        <f t="shared" si="38"/>
        <v>-0.0501574727832473</v>
      </c>
      <c r="I111" s="24">
        <f t="shared" si="39"/>
        <v>32.49893378722661</v>
      </c>
      <c r="J111" s="24">
        <f t="shared" si="40"/>
        <v>66.65643284734422</v>
      </c>
      <c r="K111" s="21">
        <v>17871456.18</v>
      </c>
      <c r="L111" s="21">
        <v>18765424.74</v>
      </c>
      <c r="M111" s="25">
        <f t="shared" si="41"/>
        <v>-0.04763913273406668</v>
      </c>
      <c r="N111" s="10"/>
      <c r="R111" s="2"/>
    </row>
    <row r="112" spans="1:18" ht="15.75" customHeight="1">
      <c r="A112" s="19"/>
      <c r="B112" s="20">
        <f>DATE(2012,9,1)</f>
        <v>41153</v>
      </c>
      <c r="C112" s="21">
        <v>510632</v>
      </c>
      <c r="D112" s="21">
        <v>581069</v>
      </c>
      <c r="E112" s="23">
        <f t="shared" si="37"/>
        <v>-0.12121968303247979</v>
      </c>
      <c r="F112" s="21">
        <f>+C112-261020</f>
        <v>249612</v>
      </c>
      <c r="G112" s="21">
        <f>+D112-306152</f>
        <v>274917</v>
      </c>
      <c r="H112" s="23">
        <f t="shared" si="38"/>
        <v>-0.09204596296336713</v>
      </c>
      <c r="I112" s="24">
        <f t="shared" si="39"/>
        <v>33.52271812185684</v>
      </c>
      <c r="J112" s="24">
        <f t="shared" si="40"/>
        <v>68.57752271525408</v>
      </c>
      <c r="K112" s="21">
        <v>17117772.6</v>
      </c>
      <c r="L112" s="21">
        <v>18906300.59</v>
      </c>
      <c r="M112" s="25">
        <f t="shared" si="41"/>
        <v>-0.09459957443742295</v>
      </c>
      <c r="N112" s="10"/>
      <c r="R112" s="2"/>
    </row>
    <row r="113" spans="1:18" ht="15.75" customHeight="1">
      <c r="A113" s="19"/>
      <c r="B113" s="20">
        <f>DATE(2012,10,1)</f>
        <v>41183</v>
      </c>
      <c r="C113" s="21">
        <v>538961</v>
      </c>
      <c r="D113" s="21">
        <v>571488</v>
      </c>
      <c r="E113" s="23">
        <f t="shared" si="37"/>
        <v>-0.05691633070160703</v>
      </c>
      <c r="F113" s="21">
        <f>+C113-272124</f>
        <v>266837</v>
      </c>
      <c r="G113" s="21">
        <f>+D113-301384</f>
        <v>270104</v>
      </c>
      <c r="H113" s="23">
        <f t="shared" si="38"/>
        <v>-0.012095341053816308</v>
      </c>
      <c r="I113" s="24">
        <f t="shared" si="39"/>
        <v>32.20009494193457</v>
      </c>
      <c r="J113" s="24">
        <f t="shared" si="40"/>
        <v>65.03818949396074</v>
      </c>
      <c r="K113" s="21">
        <v>17354595.37</v>
      </c>
      <c r="L113" s="21">
        <v>19691319.48</v>
      </c>
      <c r="M113" s="25">
        <f t="shared" si="41"/>
        <v>-0.11866772627265297</v>
      </c>
      <c r="N113" s="10"/>
      <c r="R113" s="2"/>
    </row>
    <row r="114" spans="1:18" ht="15.75" customHeight="1">
      <c r="A114" s="19"/>
      <c r="B114" s="20">
        <f>DATE(2012,11,1)</f>
        <v>41214</v>
      </c>
      <c r="C114" s="21">
        <v>545984</v>
      </c>
      <c r="D114" s="21">
        <v>569648</v>
      </c>
      <c r="E114" s="23">
        <f t="shared" si="37"/>
        <v>-0.041541443136814314</v>
      </c>
      <c r="F114" s="21">
        <f>+C114-278133</f>
        <v>267851</v>
      </c>
      <c r="G114" s="21">
        <f>+D114-302498</f>
        <v>267150</v>
      </c>
      <c r="H114" s="23">
        <f t="shared" si="38"/>
        <v>0.0026239940108553246</v>
      </c>
      <c r="I114" s="24">
        <f t="shared" si="39"/>
        <v>33.35884355585512</v>
      </c>
      <c r="J114" s="24">
        <f t="shared" si="40"/>
        <v>67.99823349548817</v>
      </c>
      <c r="K114" s="21">
        <v>18213394.84</v>
      </c>
      <c r="L114" s="21">
        <v>18800138.4</v>
      </c>
      <c r="M114" s="25">
        <f t="shared" si="41"/>
        <v>-0.031209534074493766</v>
      </c>
      <c r="N114" s="10"/>
      <c r="R114" s="2"/>
    </row>
    <row r="115" spans="1:18" ht="15.75" customHeight="1">
      <c r="A115" s="19"/>
      <c r="B115" s="20">
        <f>DATE(2012,12,1)</f>
        <v>41244</v>
      </c>
      <c r="C115" s="21">
        <v>542239</v>
      </c>
      <c r="D115" s="21">
        <v>626545</v>
      </c>
      <c r="E115" s="23">
        <f t="shared" si="37"/>
        <v>-0.13455697515741089</v>
      </c>
      <c r="F115" s="21">
        <f>+C115-281055</f>
        <v>261184</v>
      </c>
      <c r="G115" s="21">
        <f>+D115-332449</f>
        <v>294096</v>
      </c>
      <c r="H115" s="23">
        <f t="shared" si="38"/>
        <v>-0.11190903650508677</v>
      </c>
      <c r="I115" s="24">
        <f t="shared" si="39"/>
        <v>33.73043536152877</v>
      </c>
      <c r="J115" s="24">
        <f t="shared" si="40"/>
        <v>70.02709790798824</v>
      </c>
      <c r="K115" s="21">
        <v>18289957.54</v>
      </c>
      <c r="L115" s="21">
        <v>20260954.19</v>
      </c>
      <c r="M115" s="25">
        <f t="shared" si="41"/>
        <v>-0.09728054421902832</v>
      </c>
      <c r="N115" s="10"/>
      <c r="R115" s="2"/>
    </row>
    <row r="116" spans="1:18" ht="15.75" customHeight="1">
      <c r="A116" s="19"/>
      <c r="B116" s="20">
        <f>DATE(2013,1,1)</f>
        <v>41275</v>
      </c>
      <c r="C116" s="21">
        <v>507171</v>
      </c>
      <c r="D116" s="21">
        <v>582175</v>
      </c>
      <c r="E116" s="23">
        <f t="shared" si="37"/>
        <v>-0.12883411345385837</v>
      </c>
      <c r="F116" s="21">
        <f>+C116-265189</f>
        <v>241982</v>
      </c>
      <c r="G116" s="21">
        <f>+D116-310302</f>
        <v>271873</v>
      </c>
      <c r="H116" s="23">
        <f t="shared" si="38"/>
        <v>-0.10994471683469856</v>
      </c>
      <c r="I116" s="24">
        <f t="shared" si="39"/>
        <v>32.92656269778832</v>
      </c>
      <c r="J116" s="24">
        <f t="shared" si="40"/>
        <v>69.01090878660396</v>
      </c>
      <c r="K116" s="21">
        <v>16699397.73</v>
      </c>
      <c r="L116" s="21">
        <v>18968406.12</v>
      </c>
      <c r="M116" s="25">
        <f t="shared" si="41"/>
        <v>-0.119620403298282</v>
      </c>
      <c r="N116" s="10"/>
      <c r="R116" s="2"/>
    </row>
    <row r="117" spans="1:18" ht="15.75" customHeight="1">
      <c r="A117" s="19"/>
      <c r="B117" s="20">
        <f>DATE(2013,2,1)</f>
        <v>41306</v>
      </c>
      <c r="C117" s="21">
        <v>498430</v>
      </c>
      <c r="D117" s="21">
        <v>558723</v>
      </c>
      <c r="E117" s="23">
        <f t="shared" si="37"/>
        <v>-0.10791214966987218</v>
      </c>
      <c r="F117" s="21">
        <f>+C117-264955</f>
        <v>233475</v>
      </c>
      <c r="G117" s="21">
        <f>+D117-292043</f>
        <v>266680</v>
      </c>
      <c r="H117" s="23">
        <f t="shared" si="38"/>
        <v>-0.12451252437378131</v>
      </c>
      <c r="I117" s="24">
        <f t="shared" si="39"/>
        <v>33.439718857211645</v>
      </c>
      <c r="J117" s="24">
        <f t="shared" si="40"/>
        <v>71.38819603811972</v>
      </c>
      <c r="K117" s="21">
        <v>16667359.07</v>
      </c>
      <c r="L117" s="21">
        <v>18940398.07</v>
      </c>
      <c r="M117" s="25">
        <f t="shared" si="41"/>
        <v>-0.12001009649318316</v>
      </c>
      <c r="N117" s="10"/>
      <c r="R117" s="2"/>
    </row>
    <row r="118" spans="1:18" ht="15.75" customHeight="1">
      <c r="A118" s="19"/>
      <c r="B118" s="20">
        <f>DATE(2013,3,1)</f>
        <v>41334</v>
      </c>
      <c r="C118" s="21">
        <v>575995</v>
      </c>
      <c r="D118" s="21">
        <v>595089</v>
      </c>
      <c r="E118" s="23">
        <f t="shared" si="37"/>
        <v>-0.03208595689048193</v>
      </c>
      <c r="F118" s="21">
        <f>+C118-305631</f>
        <v>270364</v>
      </c>
      <c r="G118" s="21">
        <f>+D118-312549</f>
        <v>282540</v>
      </c>
      <c r="H118" s="23">
        <f t="shared" si="38"/>
        <v>-0.043094783039569616</v>
      </c>
      <c r="I118" s="24">
        <f t="shared" si="39"/>
        <v>34.44342607140687</v>
      </c>
      <c r="J118" s="24">
        <f t="shared" si="40"/>
        <v>73.37974434466126</v>
      </c>
      <c r="K118" s="21">
        <v>19839241.2</v>
      </c>
      <c r="L118" s="21">
        <v>20346193.5</v>
      </c>
      <c r="M118" s="25">
        <f t="shared" si="41"/>
        <v>-0.02491632157140355</v>
      </c>
      <c r="N118" s="10"/>
      <c r="R118" s="2"/>
    </row>
    <row r="119" spans="1:18" ht="15.75" customHeight="1">
      <c r="A119" s="19"/>
      <c r="B119" s="20">
        <f>DATE(2013,4,1)</f>
        <v>41365</v>
      </c>
      <c r="C119" s="21">
        <v>501136</v>
      </c>
      <c r="D119" s="21">
        <v>522289</v>
      </c>
      <c r="E119" s="23">
        <f t="shared" si="37"/>
        <v>-0.04050056577871638</v>
      </c>
      <c r="F119" s="21">
        <f>+C119-261576</f>
        <v>239560</v>
      </c>
      <c r="G119" s="21">
        <f>+D119-273295</f>
        <v>248994</v>
      </c>
      <c r="H119" s="23">
        <f t="shared" si="38"/>
        <v>-0.037888463175819495</v>
      </c>
      <c r="I119" s="24">
        <f t="shared" si="39"/>
        <v>35.050395621148745</v>
      </c>
      <c r="J119" s="24">
        <f t="shared" si="40"/>
        <v>73.32198639171814</v>
      </c>
      <c r="K119" s="21">
        <v>17565015.06</v>
      </c>
      <c r="L119" s="21">
        <v>18091510.05</v>
      </c>
      <c r="M119" s="25">
        <f t="shared" si="41"/>
        <v>-0.02910177141349249</v>
      </c>
      <c r="N119" s="10"/>
      <c r="R119" s="2"/>
    </row>
    <row r="120" spans="1:18" ht="15.75" customHeight="1" thickBot="1">
      <c r="A120" s="19"/>
      <c r="B120" s="46"/>
      <c r="C120" s="21"/>
      <c r="D120" s="21"/>
      <c r="E120" s="23"/>
      <c r="F120" s="21"/>
      <c r="G120" s="21"/>
      <c r="H120" s="23"/>
      <c r="I120" s="24"/>
      <c r="J120" s="24"/>
      <c r="K120" s="21"/>
      <c r="L120" s="21"/>
      <c r="M120" s="25"/>
      <c r="N120" s="10"/>
      <c r="R120" s="2"/>
    </row>
    <row r="121" spans="1:18" ht="17.25" thickBot="1" thickTop="1">
      <c r="A121" s="39" t="s">
        <v>14</v>
      </c>
      <c r="B121" s="40"/>
      <c r="C121" s="41">
        <f>SUM(C110:C120)</f>
        <v>5332708</v>
      </c>
      <c r="D121" s="41">
        <f>SUM(D110:D120)</f>
        <v>5848195</v>
      </c>
      <c r="E121" s="42">
        <f>(+C121-D121)/D121</f>
        <v>-0.08814463266016266</v>
      </c>
      <c r="F121" s="41">
        <f>SUM(F110:F120)</f>
        <v>2572499</v>
      </c>
      <c r="G121" s="41">
        <f>SUM(G110:G120)</f>
        <v>2771931</v>
      </c>
      <c r="H121" s="43">
        <f>(+F121-G121)/G121</f>
        <v>-0.07194695683261958</v>
      </c>
      <c r="I121" s="44">
        <f>K121/C121</f>
        <v>33.517803174297185</v>
      </c>
      <c r="J121" s="44">
        <f>K121/F121</f>
        <v>69.48133201606687</v>
      </c>
      <c r="K121" s="41">
        <f>SUM(K110:K120)</f>
        <v>178740657.13</v>
      </c>
      <c r="L121" s="41">
        <f>SUM(L110:L120)</f>
        <v>194071324.53</v>
      </c>
      <c r="M121" s="45">
        <f>(+K121-L121)/L121</f>
        <v>-0.0789950160701364</v>
      </c>
      <c r="N121" s="10"/>
      <c r="R121" s="2"/>
    </row>
    <row r="122" spans="1:18" ht="15.75" customHeight="1" thickTop="1">
      <c r="A122" s="55"/>
      <c r="B122" s="56"/>
      <c r="C122" s="56"/>
      <c r="D122" s="56"/>
      <c r="E122" s="57"/>
      <c r="F122" s="56"/>
      <c r="G122" s="56"/>
      <c r="H122" s="57"/>
      <c r="I122" s="56"/>
      <c r="J122" s="56"/>
      <c r="K122" s="200"/>
      <c r="L122" s="200"/>
      <c r="M122" s="58"/>
      <c r="N122" s="10"/>
      <c r="R122" s="2"/>
    </row>
    <row r="123" spans="1:18" ht="15.75" customHeight="1">
      <c r="A123" s="19" t="s">
        <v>59</v>
      </c>
      <c r="B123" s="20">
        <f>DATE(2012,7,1)</f>
        <v>41091</v>
      </c>
      <c r="C123" s="21">
        <v>559966</v>
      </c>
      <c r="D123" s="21">
        <v>574356</v>
      </c>
      <c r="E123" s="23">
        <f aca="true" t="shared" si="42" ref="E123:E132">(+C123-D123)/D123</f>
        <v>-0.025054147601835795</v>
      </c>
      <c r="F123" s="21">
        <f>+C123-278963</f>
        <v>281003</v>
      </c>
      <c r="G123" s="21">
        <f>+D123-291331</f>
        <v>283025</v>
      </c>
      <c r="H123" s="23">
        <f aca="true" t="shared" si="43" ref="H123:H132">(+F123-G123)/G123</f>
        <v>-0.007144245208020493</v>
      </c>
      <c r="I123" s="24">
        <f aca="true" t="shared" si="44" ref="I123:I132">K123/C123</f>
        <v>32.10425377612212</v>
      </c>
      <c r="J123" s="24">
        <f aca="true" t="shared" si="45" ref="J123:J132">K123/F123</f>
        <v>63.97544001309595</v>
      </c>
      <c r="K123" s="21">
        <v>17977290.57</v>
      </c>
      <c r="L123" s="21">
        <v>17332507.64</v>
      </c>
      <c r="M123" s="25">
        <f aca="true" t="shared" si="46" ref="M123:M132">(+K123-L123)/L123</f>
        <v>0.037200787294734444</v>
      </c>
      <c r="N123" s="10"/>
      <c r="R123" s="2"/>
    </row>
    <row r="124" spans="1:18" ht="15.75" customHeight="1">
      <c r="A124" s="19"/>
      <c r="B124" s="20">
        <f>DATE(2012,8,1)</f>
        <v>41122</v>
      </c>
      <c r="C124" s="21">
        <v>521819</v>
      </c>
      <c r="D124" s="21">
        <v>536736</v>
      </c>
      <c r="E124" s="23">
        <f t="shared" si="42"/>
        <v>-0.02779206164669409</v>
      </c>
      <c r="F124" s="21">
        <f>+C124-261336</f>
        <v>260483</v>
      </c>
      <c r="G124" s="21">
        <f>+D124-266700</f>
        <v>270036</v>
      </c>
      <c r="H124" s="23">
        <f t="shared" si="43"/>
        <v>-0.03537676457953754</v>
      </c>
      <c r="I124" s="24">
        <f t="shared" si="44"/>
        <v>34.16711478501166</v>
      </c>
      <c r="J124" s="24">
        <f t="shared" si="45"/>
        <v>68.44611613809731</v>
      </c>
      <c r="K124" s="21">
        <v>17829049.67</v>
      </c>
      <c r="L124" s="21">
        <v>16549854.71</v>
      </c>
      <c r="M124" s="25">
        <f t="shared" si="46"/>
        <v>0.07729342537533375</v>
      </c>
      <c r="N124" s="10"/>
      <c r="R124" s="2"/>
    </row>
    <row r="125" spans="1:18" ht="15.75" customHeight="1">
      <c r="A125" s="19"/>
      <c r="B125" s="20">
        <f>DATE(2012,9,1)</f>
        <v>41153</v>
      </c>
      <c r="C125" s="21">
        <v>518876</v>
      </c>
      <c r="D125" s="21">
        <v>527833</v>
      </c>
      <c r="E125" s="23">
        <f t="shared" si="42"/>
        <v>-0.0169693823614666</v>
      </c>
      <c r="F125" s="21">
        <f>+C125-268642</f>
        <v>250234</v>
      </c>
      <c r="G125" s="21">
        <f>+D125-269052</f>
        <v>258781</v>
      </c>
      <c r="H125" s="23">
        <f t="shared" si="43"/>
        <v>-0.033027927088928474</v>
      </c>
      <c r="I125" s="24">
        <f t="shared" si="44"/>
        <v>33.292177148297476</v>
      </c>
      <c r="J125" s="24">
        <f t="shared" si="45"/>
        <v>69.03343154807101</v>
      </c>
      <c r="K125" s="21">
        <v>17274511.71</v>
      </c>
      <c r="L125" s="21">
        <v>15998683.4</v>
      </c>
      <c r="M125" s="25">
        <f t="shared" si="46"/>
        <v>0.0797458314601063</v>
      </c>
      <c r="N125" s="10"/>
      <c r="R125" s="2"/>
    </row>
    <row r="126" spans="1:18" ht="15.75" customHeight="1">
      <c r="A126" s="19"/>
      <c r="B126" s="20">
        <f>DATE(2012,10,1)</f>
        <v>41183</v>
      </c>
      <c r="C126" s="21">
        <v>446706</v>
      </c>
      <c r="D126" s="21">
        <v>517403</v>
      </c>
      <c r="E126" s="23">
        <f t="shared" si="42"/>
        <v>-0.13663817179258722</v>
      </c>
      <c r="F126" s="21">
        <f>+C126-225385</f>
        <v>221321</v>
      </c>
      <c r="G126" s="21">
        <f>+D126-261510</f>
        <v>255893</v>
      </c>
      <c r="H126" s="23">
        <f t="shared" si="43"/>
        <v>-0.1351033439758024</v>
      </c>
      <c r="I126" s="24">
        <f t="shared" si="44"/>
        <v>34.32302402475006</v>
      </c>
      <c r="J126" s="24">
        <f t="shared" si="45"/>
        <v>69.27630351390061</v>
      </c>
      <c r="K126" s="21">
        <v>15332300.77</v>
      </c>
      <c r="L126" s="21">
        <v>14675607.91</v>
      </c>
      <c r="M126" s="25">
        <f t="shared" si="46"/>
        <v>0.044747233915436446</v>
      </c>
      <c r="N126" s="10"/>
      <c r="R126" s="2"/>
    </row>
    <row r="127" spans="1:18" ht="15.75" customHeight="1">
      <c r="A127" s="19"/>
      <c r="B127" s="20">
        <f>DATE(2012,11,1)</f>
        <v>41214</v>
      </c>
      <c r="C127" s="21">
        <v>463686</v>
      </c>
      <c r="D127" s="21">
        <v>506862</v>
      </c>
      <c r="E127" s="23">
        <f t="shared" si="42"/>
        <v>-0.08518294920510908</v>
      </c>
      <c r="F127" s="21">
        <f>+C127-233451</f>
        <v>230235</v>
      </c>
      <c r="G127" s="21">
        <f>+D127-251310</f>
        <v>255552</v>
      </c>
      <c r="H127" s="23">
        <f t="shared" si="43"/>
        <v>-0.09906790007513148</v>
      </c>
      <c r="I127" s="24">
        <f t="shared" si="44"/>
        <v>35.52310643409549</v>
      </c>
      <c r="J127" s="24">
        <f t="shared" si="45"/>
        <v>71.54241157947315</v>
      </c>
      <c r="K127" s="21">
        <v>16471567.13</v>
      </c>
      <c r="L127" s="21">
        <v>16178778.41</v>
      </c>
      <c r="M127" s="25">
        <f t="shared" si="46"/>
        <v>0.01809708450046079</v>
      </c>
      <c r="N127" s="10"/>
      <c r="R127" s="2"/>
    </row>
    <row r="128" spans="1:18" ht="15.75" customHeight="1">
      <c r="A128" s="19"/>
      <c r="B128" s="20">
        <f>DATE(2012,12,1)</f>
        <v>41244</v>
      </c>
      <c r="C128" s="21">
        <v>514853</v>
      </c>
      <c r="D128" s="21">
        <v>542538</v>
      </c>
      <c r="E128" s="23">
        <f t="shared" si="42"/>
        <v>-0.05102868370510453</v>
      </c>
      <c r="F128" s="21">
        <f>+C128-262090</f>
        <v>252763</v>
      </c>
      <c r="G128" s="21">
        <f>+D128-275573</f>
        <v>266965</v>
      </c>
      <c r="H128" s="23">
        <f t="shared" si="43"/>
        <v>-0.05319798475455584</v>
      </c>
      <c r="I128" s="24">
        <f t="shared" si="44"/>
        <v>34.132801323873025</v>
      </c>
      <c r="J128" s="24">
        <f t="shared" si="45"/>
        <v>69.52510913385267</v>
      </c>
      <c r="K128" s="21">
        <v>17573375.16</v>
      </c>
      <c r="L128" s="21">
        <v>17068159.56</v>
      </c>
      <c r="M128" s="25">
        <f t="shared" si="46"/>
        <v>0.02959988733548033</v>
      </c>
      <c r="N128" s="10"/>
      <c r="R128" s="2"/>
    </row>
    <row r="129" spans="1:18" ht="15.75" customHeight="1">
      <c r="A129" s="19"/>
      <c r="B129" s="20">
        <f>DATE(2013,1,1)</f>
        <v>41275</v>
      </c>
      <c r="C129" s="21">
        <v>481139</v>
      </c>
      <c r="D129" s="21">
        <v>496245</v>
      </c>
      <c r="E129" s="23">
        <f t="shared" si="42"/>
        <v>-0.03044060897339016</v>
      </c>
      <c r="F129" s="21">
        <f>+C129-238488</f>
        <v>242651</v>
      </c>
      <c r="G129" s="21">
        <f>+D129-255624</f>
        <v>240621</v>
      </c>
      <c r="H129" s="23">
        <f t="shared" si="43"/>
        <v>0.008436503879545011</v>
      </c>
      <c r="I129" s="24">
        <f t="shared" si="44"/>
        <v>33.09643173802165</v>
      </c>
      <c r="J129" s="24">
        <f t="shared" si="45"/>
        <v>65.62505025736552</v>
      </c>
      <c r="K129" s="21">
        <v>15923984.07</v>
      </c>
      <c r="L129" s="21">
        <v>15906020.15</v>
      </c>
      <c r="M129" s="25">
        <f t="shared" si="46"/>
        <v>0.0011293786774185576</v>
      </c>
      <c r="N129" s="10"/>
      <c r="R129" s="2"/>
    </row>
    <row r="130" spans="1:18" ht="15.75" customHeight="1">
      <c r="A130" s="19"/>
      <c r="B130" s="20">
        <f>DATE(2013,2,1)</f>
        <v>41306</v>
      </c>
      <c r="C130" s="21">
        <v>495138</v>
      </c>
      <c r="D130" s="21">
        <v>545025</v>
      </c>
      <c r="E130" s="23">
        <f t="shared" si="42"/>
        <v>-0.0915315811201321</v>
      </c>
      <c r="F130" s="21">
        <f>+C130-248000</f>
        <v>247138</v>
      </c>
      <c r="G130" s="21">
        <f>+D130-281045</f>
        <v>263980</v>
      </c>
      <c r="H130" s="23">
        <f t="shared" si="43"/>
        <v>-0.06380028790059852</v>
      </c>
      <c r="I130" s="24">
        <f t="shared" si="44"/>
        <v>34.26706564634506</v>
      </c>
      <c r="J130" s="24">
        <f t="shared" si="45"/>
        <v>68.653652412822</v>
      </c>
      <c r="K130" s="21">
        <v>16966926.35</v>
      </c>
      <c r="L130" s="21">
        <v>17509714.7</v>
      </c>
      <c r="M130" s="25">
        <f t="shared" si="46"/>
        <v>-0.030999268651704406</v>
      </c>
      <c r="N130" s="10"/>
      <c r="R130" s="2"/>
    </row>
    <row r="131" spans="1:18" ht="15.75" customHeight="1">
      <c r="A131" s="19"/>
      <c r="B131" s="20">
        <f>DATE(2013,3,1)</f>
        <v>41334</v>
      </c>
      <c r="C131" s="21">
        <v>533265</v>
      </c>
      <c r="D131" s="21">
        <v>599617</v>
      </c>
      <c r="E131" s="23">
        <f t="shared" si="42"/>
        <v>-0.11065730291169196</v>
      </c>
      <c r="F131" s="21">
        <f>+C131-270788</f>
        <v>262477</v>
      </c>
      <c r="G131" s="21">
        <f>+D131-306049</f>
        <v>293568</v>
      </c>
      <c r="H131" s="23">
        <f t="shared" si="43"/>
        <v>-0.10590731959886636</v>
      </c>
      <c r="I131" s="24">
        <f t="shared" si="44"/>
        <v>35.86720606077654</v>
      </c>
      <c r="J131" s="24">
        <f t="shared" si="45"/>
        <v>72.87010153270573</v>
      </c>
      <c r="K131" s="21">
        <v>19126725.64</v>
      </c>
      <c r="L131" s="21">
        <v>19302674.55</v>
      </c>
      <c r="M131" s="25">
        <f t="shared" si="46"/>
        <v>-0.009115260662155242</v>
      </c>
      <c r="N131" s="10"/>
      <c r="R131" s="2"/>
    </row>
    <row r="132" spans="1:18" ht="15.75" customHeight="1">
      <c r="A132" s="19"/>
      <c r="B132" s="20">
        <f>DATE(2013,4,1)</f>
        <v>41365</v>
      </c>
      <c r="C132" s="21">
        <v>482186</v>
      </c>
      <c r="D132" s="21">
        <v>510578</v>
      </c>
      <c r="E132" s="23">
        <f t="shared" si="42"/>
        <v>-0.055607566326790425</v>
      </c>
      <c r="F132" s="21">
        <f>+C132-244607</f>
        <v>237579</v>
      </c>
      <c r="G132" s="21">
        <f>+D132-259820</f>
        <v>250758</v>
      </c>
      <c r="H132" s="23">
        <f t="shared" si="43"/>
        <v>-0.052556648242528654</v>
      </c>
      <c r="I132" s="24">
        <f t="shared" si="44"/>
        <v>35.308019871999605</v>
      </c>
      <c r="J132" s="24">
        <f t="shared" si="45"/>
        <v>71.66051237693567</v>
      </c>
      <c r="K132" s="21">
        <v>17025032.87</v>
      </c>
      <c r="L132" s="21">
        <v>17119047.44</v>
      </c>
      <c r="M132" s="25">
        <f t="shared" si="46"/>
        <v>-0.005491810822390027</v>
      </c>
      <c r="N132" s="10"/>
      <c r="R132" s="2"/>
    </row>
    <row r="133" spans="1:18" ht="15.75" customHeight="1" thickBot="1">
      <c r="A133" s="19"/>
      <c r="B133" s="46"/>
      <c r="C133" s="21"/>
      <c r="D133" s="21"/>
      <c r="E133" s="23"/>
      <c r="F133" s="21"/>
      <c r="G133" s="21"/>
      <c r="H133" s="23"/>
      <c r="I133" s="24"/>
      <c r="J133" s="24"/>
      <c r="K133" s="21"/>
      <c r="L133" s="21"/>
      <c r="M133" s="25"/>
      <c r="N133" s="10"/>
      <c r="R133" s="2"/>
    </row>
    <row r="134" spans="1:18" ht="17.25" thickBot="1" thickTop="1">
      <c r="A134" s="39" t="s">
        <v>14</v>
      </c>
      <c r="B134" s="40"/>
      <c r="C134" s="41">
        <f>SUM(C123:C133)</f>
        <v>5017634</v>
      </c>
      <c r="D134" s="41">
        <f>SUM(D123:D133)</f>
        <v>5357193</v>
      </c>
      <c r="E134" s="42">
        <f>(+C134-D134)/D134</f>
        <v>-0.0633837533947349</v>
      </c>
      <c r="F134" s="41">
        <f>SUM(F123:F133)</f>
        <v>2485884</v>
      </c>
      <c r="G134" s="41">
        <f>SUM(G123:G133)</f>
        <v>2639179</v>
      </c>
      <c r="H134" s="43">
        <f>(+F134-G134)/G134</f>
        <v>-0.058084351231955086</v>
      </c>
      <c r="I134" s="44">
        <f>K134/C134</f>
        <v>34.17960814599072</v>
      </c>
      <c r="J134" s="44">
        <f>K134/F134</f>
        <v>68.98984986427364</v>
      </c>
      <c r="K134" s="41">
        <f>SUM(K123:K133)</f>
        <v>171500763.94</v>
      </c>
      <c r="L134" s="41">
        <f>SUM(L123:L133)</f>
        <v>167641048.47</v>
      </c>
      <c r="M134" s="45">
        <f>(+K134-L134)/L134</f>
        <v>0.02302368963464643</v>
      </c>
      <c r="N134" s="10"/>
      <c r="R134" s="2"/>
    </row>
    <row r="135" spans="1:18" ht="15" customHeight="1" thickTop="1">
      <c r="A135" s="59"/>
      <c r="B135" s="60"/>
      <c r="C135" s="60"/>
      <c r="D135" s="60"/>
      <c r="E135" s="61"/>
      <c r="F135" s="60"/>
      <c r="G135" s="60"/>
      <c r="H135" s="61"/>
      <c r="I135" s="60"/>
      <c r="J135" s="60"/>
      <c r="K135" s="201"/>
      <c r="L135" s="201"/>
      <c r="M135" s="62"/>
      <c r="N135" s="10"/>
      <c r="R135" s="2"/>
    </row>
    <row r="136" spans="1:18" ht="15" customHeight="1">
      <c r="A136" s="19" t="s">
        <v>60</v>
      </c>
      <c r="B136" s="20">
        <f>DATE(2012,7,1)</f>
        <v>41091</v>
      </c>
      <c r="C136" s="21">
        <v>103415</v>
      </c>
      <c r="D136" s="21">
        <v>103897</v>
      </c>
      <c r="E136" s="23">
        <f aca="true" t="shared" si="47" ref="E136:E145">(+C136-D136)/D136</f>
        <v>-0.004639209986813863</v>
      </c>
      <c r="F136" s="21">
        <f>+C136-53002</f>
        <v>50413</v>
      </c>
      <c r="G136" s="21">
        <f>+D136-53295</f>
        <v>50602</v>
      </c>
      <c r="H136" s="23">
        <f aca="true" t="shared" si="48" ref="H136:H145">(+F136-G136)/G136</f>
        <v>-0.003735030235959053</v>
      </c>
      <c r="I136" s="24">
        <f aca="true" t="shared" si="49" ref="I136:I145">K136/C136</f>
        <v>32.48098041870135</v>
      </c>
      <c r="J136" s="24">
        <f aca="true" t="shared" si="50" ref="J136:J145">K136/F136</f>
        <v>66.63004760676809</v>
      </c>
      <c r="K136" s="21">
        <v>3359020.59</v>
      </c>
      <c r="L136" s="21">
        <v>3371553.35</v>
      </c>
      <c r="M136" s="25">
        <f aca="true" t="shared" si="51" ref="M136:M145">(+K136-L136)/L136</f>
        <v>-0.0037172064917792985</v>
      </c>
      <c r="N136" s="10"/>
      <c r="R136" s="2"/>
    </row>
    <row r="137" spans="1:18" ht="15" customHeight="1">
      <c r="A137" s="19"/>
      <c r="B137" s="20">
        <f>DATE(2012,8,1)</f>
        <v>41122</v>
      </c>
      <c r="C137" s="21">
        <v>97074</v>
      </c>
      <c r="D137" s="21">
        <v>92091</v>
      </c>
      <c r="E137" s="23">
        <f t="shared" si="47"/>
        <v>0.05410952210313712</v>
      </c>
      <c r="F137" s="21">
        <f>+C137-49756</f>
        <v>47318</v>
      </c>
      <c r="G137" s="21">
        <f>+D137-47123</f>
        <v>44968</v>
      </c>
      <c r="H137" s="23">
        <f t="shared" si="48"/>
        <v>0.05225938445116527</v>
      </c>
      <c r="I137" s="24">
        <f t="shared" si="49"/>
        <v>33.52151770814018</v>
      </c>
      <c r="J137" s="24">
        <f t="shared" si="50"/>
        <v>68.77018914577963</v>
      </c>
      <c r="K137" s="21">
        <v>3254067.81</v>
      </c>
      <c r="L137" s="21">
        <v>3000936.15</v>
      </c>
      <c r="M137" s="25">
        <f t="shared" si="51"/>
        <v>0.08435089830218485</v>
      </c>
      <c r="N137" s="10"/>
      <c r="R137" s="2"/>
    </row>
    <row r="138" spans="1:18" ht="15" customHeight="1">
      <c r="A138" s="19"/>
      <c r="B138" s="20">
        <f>DATE(2012,9,1)</f>
        <v>41153</v>
      </c>
      <c r="C138" s="21">
        <v>93484</v>
      </c>
      <c r="D138" s="21">
        <v>94220</v>
      </c>
      <c r="E138" s="23">
        <f t="shared" si="47"/>
        <v>-0.007811504988325196</v>
      </c>
      <c r="F138" s="21">
        <f>+C138-48200</f>
        <v>45284</v>
      </c>
      <c r="G138" s="21">
        <f>+D138-48268</f>
        <v>45952</v>
      </c>
      <c r="H138" s="23">
        <f t="shared" si="48"/>
        <v>-0.01453690807799443</v>
      </c>
      <c r="I138" s="24">
        <f t="shared" si="49"/>
        <v>33.101495443070476</v>
      </c>
      <c r="J138" s="24">
        <f t="shared" si="50"/>
        <v>68.33451550216412</v>
      </c>
      <c r="K138" s="21">
        <v>3094460.2</v>
      </c>
      <c r="L138" s="21">
        <v>3140221.33</v>
      </c>
      <c r="M138" s="25">
        <f t="shared" si="51"/>
        <v>-0.014572581098925242</v>
      </c>
      <c r="N138" s="10"/>
      <c r="R138" s="2"/>
    </row>
    <row r="139" spans="1:18" ht="15" customHeight="1">
      <c r="A139" s="19"/>
      <c r="B139" s="20">
        <f>DATE(2012,10,1)</f>
        <v>41183</v>
      </c>
      <c r="C139" s="21">
        <v>88493</v>
      </c>
      <c r="D139" s="21">
        <v>91913</v>
      </c>
      <c r="E139" s="23">
        <f t="shared" si="47"/>
        <v>-0.037209099909697216</v>
      </c>
      <c r="F139" s="21">
        <f>+C139-45853</f>
        <v>42640</v>
      </c>
      <c r="G139" s="21">
        <f>+D139-47505</f>
        <v>44408</v>
      </c>
      <c r="H139" s="23">
        <f t="shared" si="48"/>
        <v>-0.03981264637002342</v>
      </c>
      <c r="I139" s="24">
        <f t="shared" si="49"/>
        <v>34.040234820833284</v>
      </c>
      <c r="J139" s="24">
        <f t="shared" si="50"/>
        <v>70.64546200750469</v>
      </c>
      <c r="K139" s="21">
        <v>3012322.5</v>
      </c>
      <c r="L139" s="21">
        <v>3076888.95</v>
      </c>
      <c r="M139" s="25">
        <f t="shared" si="51"/>
        <v>-0.020984328992438996</v>
      </c>
      <c r="N139" s="10"/>
      <c r="R139" s="2"/>
    </row>
    <row r="140" spans="1:18" ht="15" customHeight="1">
      <c r="A140" s="19"/>
      <c r="B140" s="20">
        <f>DATE(2012,11,1)</f>
        <v>41214</v>
      </c>
      <c r="C140" s="21">
        <v>91121</v>
      </c>
      <c r="D140" s="21">
        <v>88955</v>
      </c>
      <c r="E140" s="23">
        <f t="shared" si="47"/>
        <v>0.02434939014108257</v>
      </c>
      <c r="F140" s="21">
        <f>+C140-47793</f>
        <v>43328</v>
      </c>
      <c r="G140" s="21">
        <f>+D140-46667</f>
        <v>42288</v>
      </c>
      <c r="H140" s="23">
        <f t="shared" si="48"/>
        <v>0.024593265228906546</v>
      </c>
      <c r="I140" s="24">
        <f t="shared" si="49"/>
        <v>34.78674048792265</v>
      </c>
      <c r="J140" s="24">
        <f t="shared" si="50"/>
        <v>73.15829440546528</v>
      </c>
      <c r="K140" s="21">
        <v>3169802.58</v>
      </c>
      <c r="L140" s="21">
        <v>2928251.95</v>
      </c>
      <c r="M140" s="25">
        <f t="shared" si="51"/>
        <v>0.0824897017485124</v>
      </c>
      <c r="N140" s="10"/>
      <c r="R140" s="2"/>
    </row>
    <row r="141" spans="1:18" ht="15" customHeight="1">
      <c r="A141" s="19"/>
      <c r="B141" s="20">
        <f>DATE(2012,12,1)</f>
        <v>41244</v>
      </c>
      <c r="C141" s="21">
        <v>90765</v>
      </c>
      <c r="D141" s="21">
        <v>100798</v>
      </c>
      <c r="E141" s="23">
        <f t="shared" si="47"/>
        <v>-0.09953570507351336</v>
      </c>
      <c r="F141" s="21">
        <f>+C141-47763</f>
        <v>43002</v>
      </c>
      <c r="G141" s="21">
        <f>+D141-53333</f>
        <v>47465</v>
      </c>
      <c r="H141" s="23">
        <f t="shared" si="48"/>
        <v>-0.09402717792057305</v>
      </c>
      <c r="I141" s="24">
        <f t="shared" si="49"/>
        <v>34.796514956205584</v>
      </c>
      <c r="J141" s="24">
        <f t="shared" si="50"/>
        <v>73.44555323008233</v>
      </c>
      <c r="K141" s="21">
        <v>3158305.68</v>
      </c>
      <c r="L141" s="21">
        <v>3432796.87</v>
      </c>
      <c r="M141" s="25">
        <f t="shared" si="51"/>
        <v>-0.07996138437401917</v>
      </c>
      <c r="N141" s="10"/>
      <c r="R141" s="2"/>
    </row>
    <row r="142" spans="1:18" ht="15" customHeight="1">
      <c r="A142" s="19"/>
      <c r="B142" s="20">
        <f>DATE(2013,1,1)</f>
        <v>41275</v>
      </c>
      <c r="C142" s="21">
        <v>86171</v>
      </c>
      <c r="D142" s="21">
        <v>92703</v>
      </c>
      <c r="E142" s="23">
        <f t="shared" si="47"/>
        <v>-0.07046158161008813</v>
      </c>
      <c r="F142" s="21">
        <f>+C142-45098</f>
        <v>41073</v>
      </c>
      <c r="G142" s="21">
        <f>+D142-49120</f>
        <v>43583</v>
      </c>
      <c r="H142" s="23">
        <f t="shared" si="48"/>
        <v>-0.057591262648280295</v>
      </c>
      <c r="I142" s="24">
        <f t="shared" si="49"/>
        <v>34.82084958976918</v>
      </c>
      <c r="J142" s="24">
        <f t="shared" si="50"/>
        <v>73.05401188128455</v>
      </c>
      <c r="K142" s="21">
        <v>3000547.43</v>
      </c>
      <c r="L142" s="21">
        <v>3080241.83</v>
      </c>
      <c r="M142" s="25">
        <f t="shared" si="51"/>
        <v>-0.02587277376205228</v>
      </c>
      <c r="N142" s="10"/>
      <c r="R142" s="2"/>
    </row>
    <row r="143" spans="1:18" ht="15" customHeight="1">
      <c r="A143" s="19"/>
      <c r="B143" s="20">
        <f>DATE(2013,2,1)</f>
        <v>41306</v>
      </c>
      <c r="C143" s="21">
        <v>86263</v>
      </c>
      <c r="D143" s="21">
        <v>103604</v>
      </c>
      <c r="E143" s="23">
        <f t="shared" si="47"/>
        <v>-0.16737770742442376</v>
      </c>
      <c r="F143" s="21">
        <f>+C143-45487</f>
        <v>40776</v>
      </c>
      <c r="G143" s="21">
        <f>+D143-55047</f>
        <v>48557</v>
      </c>
      <c r="H143" s="23">
        <f t="shared" si="48"/>
        <v>-0.16024466091397738</v>
      </c>
      <c r="I143" s="24">
        <f t="shared" si="49"/>
        <v>36.01607757671307</v>
      </c>
      <c r="J143" s="24">
        <f t="shared" si="50"/>
        <v>76.1932239552678</v>
      </c>
      <c r="K143" s="21">
        <v>3106854.9</v>
      </c>
      <c r="L143" s="21">
        <v>3529541.59</v>
      </c>
      <c r="M143" s="25">
        <f t="shared" si="51"/>
        <v>-0.11975682371828913</v>
      </c>
      <c r="N143" s="10"/>
      <c r="R143" s="2"/>
    </row>
    <row r="144" spans="1:18" ht="15" customHeight="1">
      <c r="A144" s="19"/>
      <c r="B144" s="20">
        <f>DATE(2013,3,1)</f>
        <v>41334</v>
      </c>
      <c r="C144" s="21">
        <v>101860</v>
      </c>
      <c r="D144" s="21">
        <v>104518</v>
      </c>
      <c r="E144" s="23">
        <f t="shared" si="47"/>
        <v>-0.02543102623471555</v>
      </c>
      <c r="F144" s="21">
        <f>+C144-53596</f>
        <v>48264</v>
      </c>
      <c r="G144" s="21">
        <f>+D144-54802</f>
        <v>49716</v>
      </c>
      <c r="H144" s="23">
        <f t="shared" si="48"/>
        <v>-0.02920588945208786</v>
      </c>
      <c r="I144" s="24">
        <f t="shared" si="49"/>
        <v>36.10300755939525</v>
      </c>
      <c r="J144" s="24">
        <f t="shared" si="50"/>
        <v>76.19452076081552</v>
      </c>
      <c r="K144" s="21">
        <v>3677452.35</v>
      </c>
      <c r="L144" s="21">
        <v>3617747.68</v>
      </c>
      <c r="M144" s="25">
        <f t="shared" si="51"/>
        <v>0.016503270896990784</v>
      </c>
      <c r="N144" s="10"/>
      <c r="R144" s="2"/>
    </row>
    <row r="145" spans="1:18" ht="15" customHeight="1">
      <c r="A145" s="19"/>
      <c r="B145" s="20">
        <f>DATE(2013,4,1)</f>
        <v>41365</v>
      </c>
      <c r="C145" s="21">
        <v>88957</v>
      </c>
      <c r="D145" s="21">
        <v>96729</v>
      </c>
      <c r="E145" s="23">
        <f t="shared" si="47"/>
        <v>-0.08034818927105625</v>
      </c>
      <c r="F145" s="21">
        <f>+C145-46139</f>
        <v>42818</v>
      </c>
      <c r="G145" s="21">
        <f>+D145-50480</f>
        <v>46249</v>
      </c>
      <c r="H145" s="23">
        <f t="shared" si="48"/>
        <v>-0.07418538779216848</v>
      </c>
      <c r="I145" s="24">
        <f t="shared" si="49"/>
        <v>36.85266533268882</v>
      </c>
      <c r="J145" s="24">
        <f t="shared" si="50"/>
        <v>76.56365430426456</v>
      </c>
      <c r="K145" s="21">
        <v>3278302.55</v>
      </c>
      <c r="L145" s="21">
        <v>3327843.97</v>
      </c>
      <c r="M145" s="25">
        <f t="shared" si="51"/>
        <v>-0.01488694194998583</v>
      </c>
      <c r="N145" s="10"/>
      <c r="R145" s="2"/>
    </row>
    <row r="146" spans="1:18" ht="15.75" thickBot="1">
      <c r="A146" s="38"/>
      <c r="B146" s="20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Bot="1" thickTop="1">
      <c r="A147" s="63" t="s">
        <v>14</v>
      </c>
      <c r="B147" s="53"/>
      <c r="C147" s="49">
        <f>SUM(C136:C146)</f>
        <v>927603</v>
      </c>
      <c r="D147" s="49">
        <f>SUM(D136:D146)</f>
        <v>969428</v>
      </c>
      <c r="E147" s="42">
        <f>(+C147-D147)/D147</f>
        <v>-0.043143998316533046</v>
      </c>
      <c r="F147" s="49">
        <f>SUM(F136:F146)</f>
        <v>444916</v>
      </c>
      <c r="G147" s="49">
        <f>SUM(G136:G146)</f>
        <v>463788</v>
      </c>
      <c r="H147" s="43">
        <f>(+F147-G147)/G147</f>
        <v>-0.04069100537314463</v>
      </c>
      <c r="I147" s="51">
        <f>K147/C147</f>
        <v>34.61732722942897</v>
      </c>
      <c r="J147" s="51">
        <f>K147/F147</f>
        <v>72.17348126387903</v>
      </c>
      <c r="K147" s="49">
        <f>SUM(K136:K146)</f>
        <v>32111136.590000004</v>
      </c>
      <c r="L147" s="49">
        <f>SUM(L136:L146)</f>
        <v>32506023.669999998</v>
      </c>
      <c r="M147" s="45">
        <f>(+K147-L147)/L147</f>
        <v>-0.012148120114870835</v>
      </c>
      <c r="N147" s="10"/>
      <c r="R147" s="2"/>
    </row>
    <row r="148" spans="1:18" ht="16.5" thickTop="1">
      <c r="A148" s="19"/>
      <c r="B148" s="46"/>
      <c r="C148" s="21"/>
      <c r="D148" s="21"/>
      <c r="E148" s="23"/>
      <c r="F148" s="21"/>
      <c r="G148" s="21"/>
      <c r="H148" s="23"/>
      <c r="I148" s="24"/>
      <c r="J148" s="24"/>
      <c r="K148" s="21"/>
      <c r="L148" s="21"/>
      <c r="M148" s="25"/>
      <c r="N148" s="10"/>
      <c r="R148" s="2"/>
    </row>
    <row r="149" spans="1:18" ht="15.75">
      <c r="A149" s="19" t="s">
        <v>19</v>
      </c>
      <c r="B149" s="20">
        <f>DATE(2012,7,1)</f>
        <v>41091</v>
      </c>
      <c r="C149" s="21">
        <v>684605</v>
      </c>
      <c r="D149" s="21">
        <v>666572</v>
      </c>
      <c r="E149" s="23">
        <f aca="true" t="shared" si="52" ref="E149:E158">(+C149-D149)/D149</f>
        <v>0.027053341574503578</v>
      </c>
      <c r="F149" s="21">
        <f>+C149-339270</f>
        <v>345335</v>
      </c>
      <c r="G149" s="21">
        <f>+D149-338642</f>
        <v>327930</v>
      </c>
      <c r="H149" s="23">
        <f aca="true" t="shared" si="53" ref="H149:H158">(+F149-G149)/G149</f>
        <v>0.053075351446955146</v>
      </c>
      <c r="I149" s="24">
        <f aca="true" t="shared" si="54" ref="I149:I158">K149/C149</f>
        <v>34.84257040191059</v>
      </c>
      <c r="J149" s="24">
        <f aca="true" t="shared" si="55" ref="J149:J158">K149/F149</f>
        <v>69.07321270650239</v>
      </c>
      <c r="K149" s="21">
        <v>23853397.91</v>
      </c>
      <c r="L149" s="21">
        <v>24460901.38</v>
      </c>
      <c r="M149" s="25">
        <f aca="true" t="shared" si="56" ref="M149:M158">(+K149-L149)/L149</f>
        <v>-0.02483569434185744</v>
      </c>
      <c r="N149" s="10"/>
      <c r="R149" s="2"/>
    </row>
    <row r="150" spans="1:18" ht="15.75">
      <c r="A150" s="19"/>
      <c r="B150" s="20">
        <f>DATE(2012,8,1)</f>
        <v>41122</v>
      </c>
      <c r="C150" s="21">
        <v>667637</v>
      </c>
      <c r="D150" s="21">
        <v>661882</v>
      </c>
      <c r="E150" s="23">
        <f t="shared" si="52"/>
        <v>0.008694903321135792</v>
      </c>
      <c r="F150" s="21">
        <f>+C150-331302</f>
        <v>336335</v>
      </c>
      <c r="G150" s="21">
        <f>+D150-325243</f>
        <v>336639</v>
      </c>
      <c r="H150" s="23">
        <f t="shared" si="53"/>
        <v>-0.0009030445076179528</v>
      </c>
      <c r="I150" s="24">
        <f t="shared" si="54"/>
        <v>34.693177145664485</v>
      </c>
      <c r="J150" s="24">
        <f t="shared" si="55"/>
        <v>68.86719702082745</v>
      </c>
      <c r="K150" s="21">
        <v>23162448.71</v>
      </c>
      <c r="L150" s="21">
        <v>22217010.72</v>
      </c>
      <c r="M150" s="25">
        <f t="shared" si="56"/>
        <v>0.042554689373620745</v>
      </c>
      <c r="N150" s="10"/>
      <c r="R150" s="2"/>
    </row>
    <row r="151" spans="1:18" ht="15.75">
      <c r="A151" s="19"/>
      <c r="B151" s="20">
        <f>DATE(2012,9,1)</f>
        <v>41153</v>
      </c>
      <c r="C151" s="21">
        <v>634121</v>
      </c>
      <c r="D151" s="21">
        <v>621050</v>
      </c>
      <c r="E151" s="23">
        <f t="shared" si="52"/>
        <v>0.02104661460429917</v>
      </c>
      <c r="F151" s="21">
        <f>+C151-312293</f>
        <v>321828</v>
      </c>
      <c r="G151" s="21">
        <f>+D151-317319</f>
        <v>303731</v>
      </c>
      <c r="H151" s="23">
        <f t="shared" si="53"/>
        <v>0.05958232778346629</v>
      </c>
      <c r="I151" s="24">
        <f t="shared" si="54"/>
        <v>36.09435191390918</v>
      </c>
      <c r="J151" s="24">
        <f t="shared" si="55"/>
        <v>71.11931382601887</v>
      </c>
      <c r="K151" s="21">
        <v>22888186.53</v>
      </c>
      <c r="L151" s="21">
        <v>22419388.27</v>
      </c>
      <c r="M151" s="25">
        <f t="shared" si="56"/>
        <v>0.02091039480445207</v>
      </c>
      <c r="N151" s="10"/>
      <c r="R151" s="2"/>
    </row>
    <row r="152" spans="1:18" ht="15.75">
      <c r="A152" s="19"/>
      <c r="B152" s="20">
        <f>DATE(2012,10,1)</f>
        <v>41183</v>
      </c>
      <c r="C152" s="21">
        <v>599849</v>
      </c>
      <c r="D152" s="21">
        <v>591140</v>
      </c>
      <c r="E152" s="23">
        <f t="shared" si="52"/>
        <v>0.014732550664817132</v>
      </c>
      <c r="F152" s="21">
        <f>+C152-297104</f>
        <v>302745</v>
      </c>
      <c r="G152" s="21">
        <f>+D152-300125</f>
        <v>291015</v>
      </c>
      <c r="H152" s="23">
        <f t="shared" si="53"/>
        <v>0.040307200659759804</v>
      </c>
      <c r="I152" s="24">
        <f t="shared" si="54"/>
        <v>36.36997872797988</v>
      </c>
      <c r="J152" s="24">
        <f t="shared" si="55"/>
        <v>72.06228135889941</v>
      </c>
      <c r="K152" s="21">
        <v>21816495.37</v>
      </c>
      <c r="L152" s="21">
        <v>22160035.96</v>
      </c>
      <c r="M152" s="25">
        <f t="shared" si="56"/>
        <v>-0.015502709048852998</v>
      </c>
      <c r="N152" s="10"/>
      <c r="R152" s="2"/>
    </row>
    <row r="153" spans="1:18" ht="15.75">
      <c r="A153" s="19"/>
      <c r="B153" s="20">
        <f>DATE(2012,11,1)</f>
        <v>41214</v>
      </c>
      <c r="C153" s="21">
        <v>613858</v>
      </c>
      <c r="D153" s="21">
        <v>606333</v>
      </c>
      <c r="E153" s="23">
        <f t="shared" si="52"/>
        <v>0.012410672023459057</v>
      </c>
      <c r="F153" s="21">
        <f>+C153-306851</f>
        <v>307007</v>
      </c>
      <c r="G153" s="21">
        <f>+D153-311860</f>
        <v>294473</v>
      </c>
      <c r="H153" s="23">
        <f t="shared" si="53"/>
        <v>0.04256417396501547</v>
      </c>
      <c r="I153" s="24">
        <f t="shared" si="54"/>
        <v>36.92348857553376</v>
      </c>
      <c r="J153" s="24">
        <f t="shared" si="55"/>
        <v>73.82821515470332</v>
      </c>
      <c r="K153" s="21">
        <v>22665778.85</v>
      </c>
      <c r="L153" s="21">
        <v>21524741.83</v>
      </c>
      <c r="M153" s="25">
        <f t="shared" si="56"/>
        <v>0.05301048574760087</v>
      </c>
      <c r="N153" s="10"/>
      <c r="R153" s="2"/>
    </row>
    <row r="154" spans="1:18" ht="15.75">
      <c r="A154" s="19"/>
      <c r="B154" s="20">
        <f>DATE(2012,12,1)</f>
        <v>41244</v>
      </c>
      <c r="C154" s="21">
        <v>657595</v>
      </c>
      <c r="D154" s="21">
        <v>670256</v>
      </c>
      <c r="E154" s="23">
        <f t="shared" si="52"/>
        <v>-0.018889797331168988</v>
      </c>
      <c r="F154" s="21">
        <f>+C154-328541</f>
        <v>329054</v>
      </c>
      <c r="G154" s="21">
        <f>+D154-343591</f>
        <v>326665</v>
      </c>
      <c r="H154" s="23">
        <f t="shared" si="53"/>
        <v>0.007313302618890912</v>
      </c>
      <c r="I154" s="24">
        <f t="shared" si="54"/>
        <v>35.639055710581744</v>
      </c>
      <c r="J154" s="24">
        <f t="shared" si="55"/>
        <v>71.2225496119178</v>
      </c>
      <c r="K154" s="21">
        <v>23436064.84</v>
      </c>
      <c r="L154" s="21">
        <v>23721487.45</v>
      </c>
      <c r="M154" s="25">
        <f t="shared" si="56"/>
        <v>-0.012032239150332009</v>
      </c>
      <c r="N154" s="10"/>
      <c r="R154" s="2"/>
    </row>
    <row r="155" spans="1:18" ht="15.75">
      <c r="A155" s="19"/>
      <c r="B155" s="20">
        <f>DATE(2013,1,1)</f>
        <v>41275</v>
      </c>
      <c r="C155" s="21">
        <v>598042</v>
      </c>
      <c r="D155" s="21">
        <v>604517</v>
      </c>
      <c r="E155" s="23">
        <f t="shared" si="52"/>
        <v>-0.01071103045902762</v>
      </c>
      <c r="F155" s="21">
        <f>+C155-298822</f>
        <v>299220</v>
      </c>
      <c r="G155" s="21">
        <f>+D155-312059</f>
        <v>292458</v>
      </c>
      <c r="H155" s="23">
        <f t="shared" si="53"/>
        <v>0.023121268694992102</v>
      </c>
      <c r="I155" s="24">
        <f t="shared" si="54"/>
        <v>34.77437574618505</v>
      </c>
      <c r="J155" s="24">
        <f t="shared" si="55"/>
        <v>69.50249722612125</v>
      </c>
      <c r="K155" s="21">
        <v>20796537.22</v>
      </c>
      <c r="L155" s="21">
        <v>21543376.42</v>
      </c>
      <c r="M155" s="25">
        <f t="shared" si="56"/>
        <v>-0.0346667665012188</v>
      </c>
      <c r="N155" s="10"/>
      <c r="R155" s="2"/>
    </row>
    <row r="156" spans="1:18" ht="15.75">
      <c r="A156" s="19"/>
      <c r="B156" s="20">
        <f>DATE(2013,2,1)</f>
        <v>41306</v>
      </c>
      <c r="C156" s="21">
        <v>589256</v>
      </c>
      <c r="D156" s="21">
        <v>637384</v>
      </c>
      <c r="E156" s="23">
        <f t="shared" si="52"/>
        <v>-0.0755086415724273</v>
      </c>
      <c r="F156" s="21">
        <f>+C156-298225</f>
        <v>291031</v>
      </c>
      <c r="G156" s="21">
        <f>+D156-337309</f>
        <v>300075</v>
      </c>
      <c r="H156" s="23">
        <f t="shared" si="53"/>
        <v>-0.03013913188369574</v>
      </c>
      <c r="I156" s="24">
        <f t="shared" si="54"/>
        <v>37.26580255440759</v>
      </c>
      <c r="J156" s="24">
        <f t="shared" si="55"/>
        <v>75.45277908538952</v>
      </c>
      <c r="K156" s="21">
        <v>21959097.75</v>
      </c>
      <c r="L156" s="21">
        <v>23447341.89</v>
      </c>
      <c r="M156" s="25">
        <f t="shared" si="56"/>
        <v>-0.06347176353643387</v>
      </c>
      <c r="N156" s="10"/>
      <c r="R156" s="2"/>
    </row>
    <row r="157" spans="1:18" ht="15.75">
      <c r="A157" s="19"/>
      <c r="B157" s="20">
        <f>DATE(2013,3,1)</f>
        <v>41334</v>
      </c>
      <c r="C157" s="21">
        <v>670508</v>
      </c>
      <c r="D157" s="21">
        <v>661156</v>
      </c>
      <c r="E157" s="23">
        <f t="shared" si="52"/>
        <v>0.014144921924628984</v>
      </c>
      <c r="F157" s="21">
        <f>+C157-340900</f>
        <v>329608</v>
      </c>
      <c r="G157" s="21">
        <f>+D157-344770</f>
        <v>316386</v>
      </c>
      <c r="H157" s="23">
        <f t="shared" si="53"/>
        <v>0.04179072398905135</v>
      </c>
      <c r="I157" s="24">
        <f t="shared" si="54"/>
        <v>36.46603675123936</v>
      </c>
      <c r="J157" s="24">
        <f t="shared" si="55"/>
        <v>74.18135897793744</v>
      </c>
      <c r="K157" s="21">
        <v>24450769.37</v>
      </c>
      <c r="L157" s="21">
        <v>24790153.55</v>
      </c>
      <c r="M157" s="25">
        <f t="shared" si="56"/>
        <v>-0.013690281478712329</v>
      </c>
      <c r="N157" s="10"/>
      <c r="R157" s="2"/>
    </row>
    <row r="158" spans="1:18" ht="15.75">
      <c r="A158" s="19"/>
      <c r="B158" s="20">
        <f>DATE(2013,4,1)</f>
        <v>41365</v>
      </c>
      <c r="C158" s="21">
        <v>557740</v>
      </c>
      <c r="D158" s="21">
        <v>581063</v>
      </c>
      <c r="E158" s="23">
        <f t="shared" si="52"/>
        <v>-0.04013850477486951</v>
      </c>
      <c r="F158" s="21">
        <f>+C158-289697</f>
        <v>268043</v>
      </c>
      <c r="G158" s="21">
        <f>+D158-297943</f>
        <v>283120</v>
      </c>
      <c r="H158" s="23">
        <f t="shared" si="53"/>
        <v>-0.05325303758123764</v>
      </c>
      <c r="I158" s="24">
        <f t="shared" si="54"/>
        <v>38.489813102879474</v>
      </c>
      <c r="J158" s="24">
        <f t="shared" si="55"/>
        <v>80.08904675742325</v>
      </c>
      <c r="K158" s="21">
        <v>21467308.36</v>
      </c>
      <c r="L158" s="21">
        <v>22311535.91</v>
      </c>
      <c r="M158" s="25">
        <f t="shared" si="56"/>
        <v>-0.037838163782423384</v>
      </c>
      <c r="N158" s="10"/>
      <c r="R158" s="2"/>
    </row>
    <row r="159" spans="1:18" ht="15.75" thickBot="1">
      <c r="A159" s="38"/>
      <c r="B159" s="46"/>
      <c r="C159" s="21"/>
      <c r="D159" s="21"/>
      <c r="E159" s="23"/>
      <c r="F159" s="21"/>
      <c r="G159" s="21"/>
      <c r="H159" s="23"/>
      <c r="I159" s="24"/>
      <c r="J159" s="24"/>
      <c r="K159" s="21"/>
      <c r="L159" s="21"/>
      <c r="M159" s="25"/>
      <c r="N159" s="10"/>
      <c r="R159" s="2"/>
    </row>
    <row r="160" spans="1:18" ht="17.25" thickBot="1" thickTop="1">
      <c r="A160" s="39" t="s">
        <v>14</v>
      </c>
      <c r="B160" s="40"/>
      <c r="C160" s="41">
        <f>SUM(C149:C159)</f>
        <v>6273211</v>
      </c>
      <c r="D160" s="41">
        <f>SUM(D149:D159)</f>
        <v>6301353</v>
      </c>
      <c r="E160" s="42">
        <f>(+C160-D160)/D160</f>
        <v>-0.004466024994949498</v>
      </c>
      <c r="F160" s="41">
        <f>SUM(F149:F159)</f>
        <v>3130206</v>
      </c>
      <c r="G160" s="41">
        <f>SUM(G149:G159)</f>
        <v>3072492</v>
      </c>
      <c r="H160" s="43">
        <f>(+F160-G160)/G160</f>
        <v>0.01878410098382681</v>
      </c>
      <c r="I160" s="44">
        <f>K160/C160</f>
        <v>36.10528721415556</v>
      </c>
      <c r="J160" s="44">
        <f>K160/F160</f>
        <v>72.35820419167301</v>
      </c>
      <c r="K160" s="41">
        <f>SUM(K149:K159)</f>
        <v>226496084.91000003</v>
      </c>
      <c r="L160" s="41">
        <f>SUM(L149:L159)</f>
        <v>228595973.37999997</v>
      </c>
      <c r="M160" s="45">
        <f>(+K160-L160)/L160</f>
        <v>-0.0091860256283222</v>
      </c>
      <c r="N160" s="10"/>
      <c r="R160" s="2"/>
    </row>
    <row r="161" spans="1:18" ht="16.5" thickTop="1">
      <c r="A161" s="19"/>
      <c r="B161" s="46"/>
      <c r="C161" s="21"/>
      <c r="D161" s="21"/>
      <c r="E161" s="23"/>
      <c r="F161" s="21"/>
      <c r="G161" s="21"/>
      <c r="H161" s="23"/>
      <c r="I161" s="24"/>
      <c r="J161" s="24"/>
      <c r="K161" s="21"/>
      <c r="L161" s="21"/>
      <c r="M161" s="25"/>
      <c r="N161" s="10"/>
      <c r="R161" s="2"/>
    </row>
    <row r="162" spans="1:18" ht="15.75">
      <c r="A162" s="19" t="s">
        <v>64</v>
      </c>
      <c r="B162" s="20">
        <f>DATE(2012,7,1)</f>
        <v>41091</v>
      </c>
      <c r="C162" s="21">
        <v>107191</v>
      </c>
      <c r="D162" s="21">
        <v>0</v>
      </c>
      <c r="E162" s="23">
        <v>1</v>
      </c>
      <c r="F162" s="21">
        <f>+C162-53326</f>
        <v>53865</v>
      </c>
      <c r="G162" s="21">
        <f>+D162-0</f>
        <v>0</v>
      </c>
      <c r="H162" s="23">
        <v>1</v>
      </c>
      <c r="I162" s="24">
        <f aca="true" t="shared" si="57" ref="I162:I171">K162/C162</f>
        <v>32.782508139675905</v>
      </c>
      <c r="J162" s="24">
        <f aca="true" t="shared" si="58" ref="J162:J171">K162/F162</f>
        <v>65.23697818620626</v>
      </c>
      <c r="K162" s="21">
        <v>3513989.83</v>
      </c>
      <c r="L162" s="21">
        <v>0</v>
      </c>
      <c r="M162" s="25">
        <v>1</v>
      </c>
      <c r="N162" s="10"/>
      <c r="R162" s="2"/>
    </row>
    <row r="163" spans="1:18" ht="15.75">
      <c r="A163" s="19"/>
      <c r="B163" s="20">
        <f>DATE(2012,8,1)</f>
        <v>41122</v>
      </c>
      <c r="C163" s="21">
        <v>103185</v>
      </c>
      <c r="D163" s="21">
        <v>0</v>
      </c>
      <c r="E163" s="23">
        <v>1</v>
      </c>
      <c r="F163" s="21">
        <f>+C163-51096</f>
        <v>52089</v>
      </c>
      <c r="G163" s="21">
        <v>0</v>
      </c>
      <c r="H163" s="23">
        <v>1</v>
      </c>
      <c r="I163" s="24">
        <f t="shared" si="57"/>
        <v>31.91412065707225</v>
      </c>
      <c r="J163" s="24">
        <f t="shared" si="58"/>
        <v>63.21984564879341</v>
      </c>
      <c r="K163" s="21">
        <v>3293058.54</v>
      </c>
      <c r="L163" s="21">
        <v>0</v>
      </c>
      <c r="M163" s="25">
        <v>1</v>
      </c>
      <c r="N163" s="10"/>
      <c r="R163" s="2"/>
    </row>
    <row r="164" spans="1:18" ht="15.75">
      <c r="A164" s="19"/>
      <c r="B164" s="20">
        <f>DATE(2012,9,1)</f>
        <v>41153</v>
      </c>
      <c r="C164" s="21">
        <v>99750</v>
      </c>
      <c r="D164" s="21">
        <v>10933</v>
      </c>
      <c r="E164" s="23">
        <f aca="true" t="shared" si="59" ref="E164:E171">(+C164-D164)/D164</f>
        <v>8.123753772980884</v>
      </c>
      <c r="F164" s="21">
        <f>+C164-50114</f>
        <v>49636</v>
      </c>
      <c r="G164" s="21">
        <f>+D164-5465</f>
        <v>5468</v>
      </c>
      <c r="H164" s="23">
        <f aca="true" t="shared" si="60" ref="H164:H171">(+F164-G164)/G164</f>
        <v>8.077542062911485</v>
      </c>
      <c r="I164" s="24">
        <f t="shared" si="57"/>
        <v>32.68470556390977</v>
      </c>
      <c r="J164" s="24">
        <f t="shared" si="58"/>
        <v>65.68416834555565</v>
      </c>
      <c r="K164" s="21">
        <v>3260299.38</v>
      </c>
      <c r="L164" s="21">
        <v>357221.77</v>
      </c>
      <c r="M164" s="25">
        <f aca="true" t="shared" si="61" ref="M164:M171">(+K164-L164)/L164</f>
        <v>8.126821637998153</v>
      </c>
      <c r="N164" s="10"/>
      <c r="R164" s="2"/>
    </row>
    <row r="165" spans="1:18" ht="15.75">
      <c r="A165" s="19"/>
      <c r="B165" s="20">
        <f>DATE(2012,10,1)</f>
        <v>41183</v>
      </c>
      <c r="C165" s="21">
        <v>98690</v>
      </c>
      <c r="D165" s="21">
        <v>114753</v>
      </c>
      <c r="E165" s="23">
        <f t="shared" si="59"/>
        <v>-0.13997891122672174</v>
      </c>
      <c r="F165" s="21">
        <f>+C165-49516</f>
        <v>49174</v>
      </c>
      <c r="G165" s="21">
        <f>+D165-57879</f>
        <v>56874</v>
      </c>
      <c r="H165" s="23">
        <f t="shared" si="60"/>
        <v>-0.13538699581531105</v>
      </c>
      <c r="I165" s="24">
        <f t="shared" si="57"/>
        <v>33.406653460330325</v>
      </c>
      <c r="J165" s="24">
        <f t="shared" si="58"/>
        <v>67.04564668320657</v>
      </c>
      <c r="K165" s="21">
        <v>3296902.63</v>
      </c>
      <c r="L165" s="21">
        <v>3611449.71</v>
      </c>
      <c r="M165" s="25">
        <f t="shared" si="61"/>
        <v>-0.08709717849013052</v>
      </c>
      <c r="N165" s="10"/>
      <c r="R165" s="2"/>
    </row>
    <row r="166" spans="1:18" ht="15.75">
      <c r="A166" s="19"/>
      <c r="B166" s="20">
        <f>DATE(2012,11,1)</f>
        <v>41214</v>
      </c>
      <c r="C166" s="21">
        <v>99796</v>
      </c>
      <c r="D166" s="21">
        <v>105732</v>
      </c>
      <c r="E166" s="23">
        <f t="shared" si="59"/>
        <v>-0.05614194378239322</v>
      </c>
      <c r="F166" s="21">
        <f>+C166-50642</f>
        <v>49154</v>
      </c>
      <c r="G166" s="21">
        <f>+D166-54255</f>
        <v>51477</v>
      </c>
      <c r="H166" s="23">
        <f t="shared" si="60"/>
        <v>-0.04512694989995532</v>
      </c>
      <c r="I166" s="24">
        <f t="shared" si="57"/>
        <v>32.54272195278368</v>
      </c>
      <c r="J166" s="24">
        <f t="shared" si="58"/>
        <v>66.07058387923668</v>
      </c>
      <c r="K166" s="21">
        <v>3247633.48</v>
      </c>
      <c r="L166" s="21">
        <v>3351156.37</v>
      </c>
      <c r="M166" s="25">
        <f t="shared" si="61"/>
        <v>-0.03089169187291613</v>
      </c>
      <c r="N166" s="10"/>
      <c r="R166" s="2"/>
    </row>
    <row r="167" spans="1:18" ht="15.75">
      <c r="A167" s="19"/>
      <c r="B167" s="20">
        <f>DATE(2012,12,1)</f>
        <v>41244</v>
      </c>
      <c r="C167" s="21">
        <v>103777</v>
      </c>
      <c r="D167" s="21">
        <v>110069</v>
      </c>
      <c r="E167" s="23">
        <f t="shared" si="59"/>
        <v>-0.057164142492436565</v>
      </c>
      <c r="F167" s="21">
        <f>+C167-53124</f>
        <v>50653</v>
      </c>
      <c r="G167" s="21">
        <f>+D167-56240</f>
        <v>53829</v>
      </c>
      <c r="H167" s="23">
        <f t="shared" si="60"/>
        <v>-0.05900165338386372</v>
      </c>
      <c r="I167" s="24">
        <f t="shared" si="57"/>
        <v>33.61875165017297</v>
      </c>
      <c r="J167" s="24">
        <f t="shared" si="58"/>
        <v>68.87752334511282</v>
      </c>
      <c r="K167" s="21">
        <v>3488853.19</v>
      </c>
      <c r="L167" s="21">
        <v>3529125.99</v>
      </c>
      <c r="M167" s="25">
        <f t="shared" si="61"/>
        <v>-0.011411550654217442</v>
      </c>
      <c r="N167" s="10"/>
      <c r="R167" s="2"/>
    </row>
    <row r="168" spans="1:18" ht="15.75">
      <c r="A168" s="19"/>
      <c r="B168" s="20">
        <f>DATE(2013,1,1)</f>
        <v>41275</v>
      </c>
      <c r="C168" s="21">
        <v>95118</v>
      </c>
      <c r="D168" s="21">
        <v>104737</v>
      </c>
      <c r="E168" s="23">
        <f t="shared" si="59"/>
        <v>-0.09183956004086426</v>
      </c>
      <c r="F168" s="21">
        <f>+C168-49408</f>
        <v>45710</v>
      </c>
      <c r="G168" s="21">
        <f>+D168-53425</f>
        <v>51312</v>
      </c>
      <c r="H168" s="23">
        <f t="shared" si="60"/>
        <v>-0.10917524165887121</v>
      </c>
      <c r="I168" s="24">
        <f t="shared" si="57"/>
        <v>33.30141403309573</v>
      </c>
      <c r="J168" s="24">
        <f t="shared" si="58"/>
        <v>69.29695690220959</v>
      </c>
      <c r="K168" s="21">
        <v>3167563.9</v>
      </c>
      <c r="L168" s="21">
        <v>3276482.53</v>
      </c>
      <c r="M168" s="25">
        <f t="shared" si="61"/>
        <v>-0.03324254867917757</v>
      </c>
      <c r="N168" s="10"/>
      <c r="R168" s="2"/>
    </row>
    <row r="169" spans="1:18" ht="15.75">
      <c r="A169" s="19"/>
      <c r="B169" s="20">
        <f>DATE(2013,2,1)</f>
        <v>41306</v>
      </c>
      <c r="C169" s="21">
        <v>98214</v>
      </c>
      <c r="D169" s="21">
        <v>116367</v>
      </c>
      <c r="E169" s="23">
        <f t="shared" si="59"/>
        <v>-0.1559978344375983</v>
      </c>
      <c r="F169" s="21">
        <f>+C169-51094</f>
        <v>47120</v>
      </c>
      <c r="G169" s="21">
        <f>+D169-59940</f>
        <v>56427</v>
      </c>
      <c r="H169" s="23">
        <f t="shared" si="60"/>
        <v>-0.16493877044677194</v>
      </c>
      <c r="I169" s="24">
        <f t="shared" si="57"/>
        <v>33.76303989247969</v>
      </c>
      <c r="J169" s="24">
        <f t="shared" si="58"/>
        <v>70.37358234295417</v>
      </c>
      <c r="K169" s="21">
        <v>3316003.2</v>
      </c>
      <c r="L169" s="21">
        <v>3828084.59</v>
      </c>
      <c r="M169" s="25">
        <f t="shared" si="61"/>
        <v>-0.133769611919678</v>
      </c>
      <c r="N169" s="10"/>
      <c r="R169" s="2"/>
    </row>
    <row r="170" spans="1:18" ht="15.75">
      <c r="A170" s="19"/>
      <c r="B170" s="20">
        <f>DATE(2013,3,1)</f>
        <v>41334</v>
      </c>
      <c r="C170" s="21">
        <v>114353</v>
      </c>
      <c r="D170" s="21">
        <v>113619</v>
      </c>
      <c r="E170" s="23">
        <f t="shared" si="59"/>
        <v>0.006460187116591415</v>
      </c>
      <c r="F170" s="21">
        <f>+C170-59138</f>
        <v>55215</v>
      </c>
      <c r="G170" s="21">
        <f>+D170-57499</f>
        <v>56120</v>
      </c>
      <c r="H170" s="23">
        <f t="shared" si="60"/>
        <v>-0.01612615823235923</v>
      </c>
      <c r="I170" s="24">
        <f t="shared" si="57"/>
        <v>33.022677586071204</v>
      </c>
      <c r="J170" s="24">
        <f t="shared" si="58"/>
        <v>68.39160101421714</v>
      </c>
      <c r="K170" s="21">
        <v>3776242.25</v>
      </c>
      <c r="L170" s="21">
        <v>3682169.34</v>
      </c>
      <c r="M170" s="25">
        <f t="shared" si="61"/>
        <v>0.02554823021800517</v>
      </c>
      <c r="N170" s="10"/>
      <c r="R170" s="2"/>
    </row>
    <row r="171" spans="1:18" ht="15.75">
      <c r="A171" s="19"/>
      <c r="B171" s="20">
        <f>DATE(2013,4,1)</f>
        <v>41365</v>
      </c>
      <c r="C171" s="21">
        <v>99111</v>
      </c>
      <c r="D171" s="21">
        <v>101984</v>
      </c>
      <c r="E171" s="23">
        <f t="shared" si="59"/>
        <v>-0.028171085660495764</v>
      </c>
      <c r="F171" s="21">
        <f>+C171-50447</f>
        <v>48664</v>
      </c>
      <c r="G171" s="21">
        <f>+D171-51752</f>
        <v>50232</v>
      </c>
      <c r="H171" s="23">
        <f t="shared" si="60"/>
        <v>-0.03121516164994426</v>
      </c>
      <c r="I171" s="24">
        <f t="shared" si="57"/>
        <v>34.347168931803736</v>
      </c>
      <c r="J171" s="24">
        <f t="shared" si="58"/>
        <v>69.9527835771823</v>
      </c>
      <c r="K171" s="21">
        <v>3404182.26</v>
      </c>
      <c r="L171" s="21">
        <v>3449898.47</v>
      </c>
      <c r="M171" s="25">
        <f t="shared" si="61"/>
        <v>-0.01325146533950039</v>
      </c>
      <c r="N171" s="10"/>
      <c r="R171" s="2"/>
    </row>
    <row r="172" spans="1:18" ht="15.75" thickBot="1">
      <c r="A172" s="38"/>
      <c r="B172" s="46"/>
      <c r="C172" s="21"/>
      <c r="D172" s="21"/>
      <c r="E172" s="23"/>
      <c r="F172" s="21"/>
      <c r="G172" s="21"/>
      <c r="H172" s="23"/>
      <c r="I172" s="24"/>
      <c r="J172" s="24"/>
      <c r="K172" s="21"/>
      <c r="L172" s="21"/>
      <c r="M172" s="25"/>
      <c r="N172" s="10"/>
      <c r="R172" s="2"/>
    </row>
    <row r="173" spans="1:18" ht="17.25" thickBot="1" thickTop="1">
      <c r="A173" s="26" t="s">
        <v>14</v>
      </c>
      <c r="B173" s="27"/>
      <c r="C173" s="28">
        <f>SUM(C162:C172)</f>
        <v>1019185</v>
      </c>
      <c r="D173" s="28">
        <f>SUM(D162:D172)</f>
        <v>778194</v>
      </c>
      <c r="E173" s="29">
        <v>1</v>
      </c>
      <c r="F173" s="28">
        <f>SUM(F162:F172)</f>
        <v>501280</v>
      </c>
      <c r="G173" s="28">
        <f>SUM(G162:G172)</f>
        <v>381739</v>
      </c>
      <c r="H173" s="30">
        <v>1</v>
      </c>
      <c r="I173" s="44">
        <f>K173/C173</f>
        <v>33.129145994103126</v>
      </c>
      <c r="J173" s="44">
        <f>K173/F173</f>
        <v>67.35702334024896</v>
      </c>
      <c r="K173" s="28">
        <f>SUM(K162:K172)</f>
        <v>33764728.66</v>
      </c>
      <c r="L173" s="28">
        <f>SUM(L162:L172)</f>
        <v>25085588.77</v>
      </c>
      <c r="M173" s="32">
        <v>1</v>
      </c>
      <c r="N173" s="10"/>
      <c r="R173" s="2"/>
    </row>
    <row r="174" spans="1:18" ht="16.5" thickBot="1" thickTop="1">
      <c r="A174" s="64"/>
      <c r="B174" s="34"/>
      <c r="C174" s="35"/>
      <c r="D174" s="35"/>
      <c r="E174" s="29"/>
      <c r="F174" s="35"/>
      <c r="G174" s="35"/>
      <c r="H174" s="29"/>
      <c r="I174" s="36"/>
      <c r="J174" s="36"/>
      <c r="K174" s="35"/>
      <c r="L174" s="35"/>
      <c r="M174" s="37"/>
      <c r="N174" s="10"/>
      <c r="R174" s="2"/>
    </row>
    <row r="175" spans="1:18" ht="17.25" thickBot="1" thickTop="1">
      <c r="A175" s="65" t="s">
        <v>20</v>
      </c>
      <c r="B175" s="66"/>
      <c r="C175" s="28">
        <f>C173+C160+C72+C95+C108+C46+C20+C121+C134+C59+C147+C33+C82</f>
        <v>41107105</v>
      </c>
      <c r="D175" s="28">
        <f>D173+D160+D72+D95+D108+D46+D20+D121+D134+D59+D147+D33+D82</f>
        <v>43335721</v>
      </c>
      <c r="E175" s="29">
        <f>(+C175-D175)/D175</f>
        <v>-0.05142676638517218</v>
      </c>
      <c r="F175" s="28">
        <f>F173+F160+F72+F95+F108+F46+F20+F121+F134+F59+F147+F33+F82</f>
        <v>20159515</v>
      </c>
      <c r="G175" s="28">
        <f>G173+G160+G72+G95+G108+G46+G20+G121+G134+G59+G147+G33+G82</f>
        <v>21268730</v>
      </c>
      <c r="H175" s="30">
        <f>(+F175-G175)/G175</f>
        <v>-0.05215238521529024</v>
      </c>
      <c r="I175" s="31">
        <f>K175/C175</f>
        <v>35.468513298856735</v>
      </c>
      <c r="J175" s="31">
        <f>K175/F175</f>
        <v>72.32356038178499</v>
      </c>
      <c r="K175" s="28">
        <f>K173+K160+K72+K95+K108+K46+K20+K121+K134+K59+K147+K33+K82</f>
        <v>1458007900.3700001</v>
      </c>
      <c r="L175" s="28">
        <f>L173+L160+L72+L95+L108+L46+L20+L121+L134+L59+L147+L33+L82</f>
        <v>1499832584.9300003</v>
      </c>
      <c r="M175" s="32">
        <f>(+K175-L175)/L175</f>
        <v>-0.027886235424037148</v>
      </c>
      <c r="N175" s="10"/>
      <c r="R175" s="2"/>
    </row>
    <row r="176" spans="1:18" ht="17.25" thickBot="1" thickTop="1">
      <c r="A176" s="65"/>
      <c r="B176" s="66"/>
      <c r="C176" s="28"/>
      <c r="D176" s="28"/>
      <c r="E176" s="29"/>
      <c r="F176" s="28"/>
      <c r="G176" s="28"/>
      <c r="H176" s="30"/>
      <c r="I176" s="31"/>
      <c r="J176" s="31"/>
      <c r="K176" s="28"/>
      <c r="L176" s="28"/>
      <c r="M176" s="32"/>
      <c r="N176" s="10"/>
      <c r="R176" s="2"/>
    </row>
    <row r="177" spans="1:18" ht="17.25" thickBot="1" thickTop="1">
      <c r="A177" s="65" t="s">
        <v>21</v>
      </c>
      <c r="B177" s="66"/>
      <c r="C177" s="28">
        <f>+C18+C31+C44+C57+C70+C80+C93+C106+C119+C132+C145+C158+C171</f>
        <v>3910691</v>
      </c>
      <c r="D177" s="28">
        <f>+D18+D31+D44+D57+D70+D80+D93+D106+D119+D132+D145+D158+D171</f>
        <v>4056338</v>
      </c>
      <c r="E177" s="29">
        <f>(+C177-D177)/D177</f>
        <v>-0.03590603149934744</v>
      </c>
      <c r="F177" s="28">
        <f>+F18+F31+F44+F57+F70+F80+F93+F106+F119+F132+F145+F158+F171</f>
        <v>1907793</v>
      </c>
      <c r="G177" s="28">
        <f>+G18+G31+G44+G57+G70+G80+G93+G106+G119+G132+G145+G158+G171</f>
        <v>1984620</v>
      </c>
      <c r="H177" s="30">
        <f>(+F177-G177)/G177</f>
        <v>-0.03871118904374641</v>
      </c>
      <c r="I177" s="31">
        <f>K177/C177</f>
        <v>37.13534507328756</v>
      </c>
      <c r="J177" s="31">
        <f>K177/F177</f>
        <v>76.12191666496312</v>
      </c>
      <c r="K177" s="28">
        <f>+K18+K31+K44+K57+K70+K80+K93+K106+K119+K132+K145+K158+K171</f>
        <v>145224859.76</v>
      </c>
      <c r="L177" s="28">
        <f>+L18+L31+L44+L57+L70+L80+L93+L106+L119+L132+L145+L158+L171</f>
        <v>146956227.26</v>
      </c>
      <c r="M177" s="45">
        <f>(+K177-L177)/L177</f>
        <v>-0.011781518430905314</v>
      </c>
      <c r="N177" s="10"/>
      <c r="R177" s="2"/>
    </row>
    <row r="178" spans="1:18" ht="15.75" thickTop="1">
      <c r="A178" s="67"/>
      <c r="B178" s="68"/>
      <c r="C178" s="69"/>
      <c r="D178" s="68"/>
      <c r="E178" s="68"/>
      <c r="F178" s="68"/>
      <c r="G178" s="68"/>
      <c r="H178" s="68"/>
      <c r="I178" s="68"/>
      <c r="J178" s="68"/>
      <c r="K178" s="69"/>
      <c r="L178" s="69"/>
      <c r="M178" s="68"/>
      <c r="R178" s="2"/>
    </row>
    <row r="179" spans="1:18" ht="15.75">
      <c r="A179" s="280" t="s">
        <v>66</v>
      </c>
      <c r="B179" s="265"/>
      <c r="C179" s="266"/>
      <c r="D179" s="265"/>
      <c r="E179" s="265"/>
      <c r="F179" s="265"/>
      <c r="G179" s="265"/>
      <c r="H179" s="265"/>
      <c r="I179" s="265"/>
      <c r="J179" s="265"/>
      <c r="K179" s="266"/>
      <c r="L179" s="266"/>
      <c r="M179" s="265"/>
      <c r="R179" s="2"/>
    </row>
    <row r="180" spans="1:18" ht="15.75">
      <c r="A180" s="260" t="s">
        <v>65</v>
      </c>
      <c r="B180" s="262"/>
      <c r="C180" s="263"/>
      <c r="D180" s="263"/>
      <c r="E180" s="263"/>
      <c r="F180" s="264"/>
      <c r="G180" s="261"/>
      <c r="H180" s="261"/>
      <c r="I180" s="265"/>
      <c r="J180" s="265"/>
      <c r="K180" s="266"/>
      <c r="L180" s="266"/>
      <c r="M180" s="265"/>
      <c r="R180" s="2"/>
    </row>
    <row r="181" spans="1:18" ht="15.75">
      <c r="A181" s="260" t="s">
        <v>71</v>
      </c>
      <c r="B181" s="262"/>
      <c r="C181" s="263"/>
      <c r="D181" s="263"/>
      <c r="E181" s="263"/>
      <c r="F181" s="264"/>
      <c r="G181" s="261"/>
      <c r="H181" s="261"/>
      <c r="I181" s="265"/>
      <c r="J181" s="265"/>
      <c r="K181" s="266"/>
      <c r="L181" s="266"/>
      <c r="M181" s="265"/>
      <c r="R181" s="2"/>
    </row>
    <row r="182" spans="1:18" ht="18.75">
      <c r="A182" s="270" t="s">
        <v>22</v>
      </c>
      <c r="B182" s="71"/>
      <c r="C182" s="72"/>
      <c r="D182" s="72"/>
      <c r="E182" s="72"/>
      <c r="F182" s="72"/>
      <c r="G182" s="72"/>
      <c r="H182" s="72"/>
      <c r="I182" s="72"/>
      <c r="J182" s="72"/>
      <c r="K182" s="202"/>
      <c r="L182" s="202"/>
      <c r="M182" s="72"/>
      <c r="N182" s="2"/>
      <c r="O182" s="2"/>
      <c r="P182" s="2"/>
      <c r="Q182" s="2"/>
      <c r="R182" s="2"/>
    </row>
    <row r="183" spans="1:18" ht="18">
      <c r="A183" s="70"/>
      <c r="B183" s="71"/>
      <c r="C183" s="72"/>
      <c r="D183" s="72"/>
      <c r="E183" s="72"/>
      <c r="F183" s="72"/>
      <c r="G183" s="72"/>
      <c r="H183" s="72"/>
      <c r="I183" s="72"/>
      <c r="J183" s="72"/>
      <c r="K183" s="202"/>
      <c r="L183" s="202"/>
      <c r="M183" s="72"/>
      <c r="N183" s="2"/>
      <c r="O183" s="2"/>
      <c r="P183" s="2"/>
      <c r="Q183" s="2"/>
      <c r="R183" s="2"/>
    </row>
    <row r="184" spans="1:18" ht="15.75">
      <c r="A184" s="73"/>
      <c r="B184" s="74"/>
      <c r="C184" s="75"/>
      <c r="D184" s="75"/>
      <c r="E184" s="75"/>
      <c r="F184" s="75"/>
      <c r="G184" s="75"/>
      <c r="H184" s="75"/>
      <c r="I184" s="75"/>
      <c r="J184" s="75"/>
      <c r="K184" s="196"/>
      <c r="L184" s="196"/>
      <c r="M184" s="76"/>
      <c r="N184" s="2"/>
      <c r="O184" s="2"/>
      <c r="P184" s="2"/>
      <c r="Q184" s="2"/>
      <c r="R184" s="2"/>
    </row>
    <row r="185" spans="1:18" ht="15">
      <c r="A185" s="2"/>
      <c r="B185" s="74"/>
      <c r="C185" s="75"/>
      <c r="D185" s="75"/>
      <c r="E185" s="75"/>
      <c r="F185" s="75"/>
      <c r="G185" s="75"/>
      <c r="H185" s="75"/>
      <c r="I185" s="75"/>
      <c r="J185" s="75"/>
      <c r="K185" s="196"/>
      <c r="L185" s="196"/>
      <c r="M185" s="76"/>
      <c r="N185" s="2"/>
      <c r="O185" s="2"/>
      <c r="P185" s="2"/>
      <c r="Q185" s="2"/>
      <c r="R185" s="2"/>
    </row>
    <row r="186" spans="1:18" ht="15">
      <c r="A186" s="2"/>
      <c r="B186" s="74"/>
      <c r="C186" s="75"/>
      <c r="D186" s="75"/>
      <c r="E186" s="75"/>
      <c r="F186" s="75"/>
      <c r="G186" s="75"/>
      <c r="H186" s="75"/>
      <c r="I186" s="75"/>
      <c r="J186" s="75"/>
      <c r="K186" s="196"/>
      <c r="L186" s="196"/>
      <c r="M186" s="76"/>
      <c r="N186" s="2"/>
      <c r="O186" s="2"/>
      <c r="P186" s="2"/>
      <c r="Q186" s="2"/>
      <c r="R186" s="2"/>
    </row>
    <row r="187" spans="1:18" ht="15">
      <c r="A187" s="2"/>
      <c r="B187" s="74"/>
      <c r="C187" s="75"/>
      <c r="D187" s="75"/>
      <c r="E187" s="75"/>
      <c r="F187" s="75"/>
      <c r="G187" s="75"/>
      <c r="H187" s="75"/>
      <c r="I187" s="75"/>
      <c r="J187" s="75"/>
      <c r="K187" s="196"/>
      <c r="L187" s="196"/>
      <c r="M187" s="76"/>
      <c r="N187" s="2"/>
      <c r="O187" s="2"/>
      <c r="P187" s="2"/>
      <c r="Q187" s="2"/>
      <c r="R187" s="2"/>
    </row>
    <row r="188" spans="1:18" ht="15">
      <c r="A188" s="2"/>
      <c r="B188" s="74"/>
      <c r="C188" s="75"/>
      <c r="D188" s="75"/>
      <c r="E188" s="75"/>
      <c r="F188" s="75"/>
      <c r="G188" s="75"/>
      <c r="H188" s="75"/>
      <c r="I188" s="75"/>
      <c r="J188" s="75"/>
      <c r="K188" s="196"/>
      <c r="L188" s="196"/>
      <c r="M188" s="76"/>
      <c r="N188" s="2"/>
      <c r="O188" s="2"/>
      <c r="P188" s="2"/>
      <c r="Q188" s="2"/>
      <c r="R188" s="2"/>
    </row>
    <row r="189" spans="1:18" ht="15">
      <c r="A189" s="2"/>
      <c r="B189" s="74"/>
      <c r="C189" s="75"/>
      <c r="D189" s="75"/>
      <c r="E189" s="75"/>
      <c r="F189" s="75"/>
      <c r="G189" s="75"/>
      <c r="H189" s="75"/>
      <c r="I189" s="75"/>
      <c r="J189" s="75"/>
      <c r="K189" s="196"/>
      <c r="L189" s="196"/>
      <c r="M189" s="76"/>
      <c r="N189" s="2"/>
      <c r="O189" s="2"/>
      <c r="P189" s="2"/>
      <c r="Q189" s="2"/>
      <c r="R189" s="2"/>
    </row>
    <row r="190" spans="1:18" ht="15">
      <c r="A190" s="2"/>
      <c r="B190" s="74"/>
      <c r="C190" s="75"/>
      <c r="D190" s="75"/>
      <c r="E190" s="75"/>
      <c r="F190" s="75"/>
      <c r="G190" s="75"/>
      <c r="H190" s="75"/>
      <c r="I190" s="75"/>
      <c r="J190" s="75"/>
      <c r="K190" s="196"/>
      <c r="L190" s="196"/>
      <c r="M190" s="76"/>
      <c r="N190" s="2"/>
      <c r="O190" s="2"/>
      <c r="P190" s="2"/>
      <c r="Q190" s="2"/>
      <c r="R190" s="2"/>
    </row>
    <row r="191" spans="1:18" ht="15">
      <c r="A191" s="2"/>
      <c r="B191" s="74"/>
      <c r="C191" s="75"/>
      <c r="D191" s="75"/>
      <c r="E191" s="75"/>
      <c r="F191" s="75"/>
      <c r="G191" s="75"/>
      <c r="H191" s="75"/>
      <c r="I191" s="75"/>
      <c r="J191" s="75"/>
      <c r="K191" s="196"/>
      <c r="L191" s="196"/>
      <c r="M191" s="76"/>
      <c r="N191" s="2"/>
      <c r="O191" s="2"/>
      <c r="P191" s="2"/>
      <c r="Q191" s="2"/>
      <c r="R191" s="2"/>
    </row>
    <row r="192" spans="1:18" ht="15">
      <c r="A192" s="2"/>
      <c r="B192" s="74"/>
      <c r="C192" s="75"/>
      <c r="D192" s="75"/>
      <c r="E192" s="75"/>
      <c r="F192" s="75"/>
      <c r="G192" s="75"/>
      <c r="H192" s="75"/>
      <c r="I192" s="75"/>
      <c r="J192" s="75"/>
      <c r="K192" s="196"/>
      <c r="L192" s="196"/>
      <c r="M192" s="76"/>
      <c r="N192" s="2"/>
      <c r="O192" s="2"/>
      <c r="P192" s="2"/>
      <c r="Q192" s="2"/>
      <c r="R192" s="2"/>
    </row>
    <row r="193" spans="1:18" ht="15">
      <c r="A193" s="2"/>
      <c r="B193" s="74"/>
      <c r="C193" s="75"/>
      <c r="D193" s="75"/>
      <c r="E193" s="75"/>
      <c r="F193" s="75"/>
      <c r="G193" s="75"/>
      <c r="H193" s="75"/>
      <c r="I193" s="75"/>
      <c r="J193" s="75"/>
      <c r="K193" s="196"/>
      <c r="L193" s="196"/>
      <c r="M193" s="75"/>
      <c r="N193" s="2"/>
      <c r="O193" s="2"/>
      <c r="P193" s="2"/>
      <c r="Q193" s="2"/>
      <c r="R193" s="2"/>
    </row>
    <row r="194" spans="1:18" ht="15">
      <c r="A194" s="2"/>
      <c r="B194" s="74"/>
      <c r="C194" s="75"/>
      <c r="D194" s="75"/>
      <c r="E194" s="75"/>
      <c r="F194" s="75"/>
      <c r="G194" s="75"/>
      <c r="H194" s="75"/>
      <c r="I194" s="75"/>
      <c r="J194" s="75"/>
      <c r="K194" s="196"/>
      <c r="L194" s="196"/>
      <c r="M194" s="75"/>
      <c r="N194" s="2"/>
      <c r="O194" s="2"/>
      <c r="P194" s="2"/>
      <c r="Q194" s="2"/>
      <c r="R194" s="2"/>
    </row>
    <row r="195" spans="1:18" ht="15">
      <c r="A195" s="2"/>
      <c r="B195" s="71"/>
      <c r="C195" s="75"/>
      <c r="D195" s="75"/>
      <c r="E195" s="75"/>
      <c r="F195" s="75"/>
      <c r="G195" s="75"/>
      <c r="H195" s="75"/>
      <c r="I195" s="75"/>
      <c r="J195" s="75"/>
      <c r="K195" s="196"/>
      <c r="L195" s="196"/>
      <c r="M195" s="75"/>
      <c r="N195" s="2"/>
      <c r="O195" s="2"/>
      <c r="P195" s="2"/>
      <c r="Q195" s="2"/>
      <c r="R195" s="2"/>
    </row>
    <row r="196" spans="1:18" ht="15.75">
      <c r="A196" s="77"/>
      <c r="B196" s="71"/>
      <c r="C196" s="75"/>
      <c r="D196" s="75"/>
      <c r="E196" s="75"/>
      <c r="F196" s="75"/>
      <c r="G196" s="75"/>
      <c r="H196" s="75"/>
      <c r="I196" s="75"/>
      <c r="J196" s="75"/>
      <c r="K196" s="196"/>
      <c r="L196" s="196"/>
      <c r="M196" s="76"/>
      <c r="N196" s="2"/>
      <c r="O196" s="2"/>
      <c r="P196" s="2"/>
      <c r="Q196" s="2"/>
      <c r="R196" s="2"/>
    </row>
    <row r="197" spans="1:18" ht="15.75">
      <c r="A197" s="77"/>
      <c r="B197" s="71"/>
      <c r="C197" s="75"/>
      <c r="D197" s="75"/>
      <c r="E197" s="75"/>
      <c r="F197" s="75"/>
      <c r="G197" s="75"/>
      <c r="H197" s="75"/>
      <c r="I197" s="75"/>
      <c r="J197" s="75"/>
      <c r="K197" s="196"/>
      <c r="L197" s="196"/>
      <c r="M197" s="76"/>
      <c r="N197" s="2"/>
      <c r="O197" s="2"/>
      <c r="P197" s="2"/>
      <c r="Q197" s="2"/>
      <c r="R197" s="2"/>
    </row>
    <row r="198" spans="1:18" ht="15.75">
      <c r="A198" s="77"/>
      <c r="B198" s="71"/>
      <c r="C198" s="75"/>
      <c r="D198" s="75"/>
      <c r="E198" s="75"/>
      <c r="F198" s="75"/>
      <c r="G198" s="75"/>
      <c r="H198" s="75"/>
      <c r="I198" s="75"/>
      <c r="J198" s="75"/>
      <c r="K198" s="196"/>
      <c r="L198" s="196"/>
      <c r="M198" s="76"/>
      <c r="N198" s="2"/>
      <c r="O198" s="2"/>
      <c r="P198" s="2"/>
      <c r="Q198" s="2"/>
      <c r="R198" s="2"/>
    </row>
    <row r="199" spans="1:18" ht="15">
      <c r="A199" s="2"/>
      <c r="B199" s="71"/>
      <c r="C199" s="75"/>
      <c r="D199" s="75"/>
      <c r="E199" s="75"/>
      <c r="F199" s="75"/>
      <c r="G199" s="75"/>
      <c r="H199" s="75"/>
      <c r="I199" s="75"/>
      <c r="J199" s="75"/>
      <c r="K199" s="196"/>
      <c r="L199" s="196"/>
      <c r="M199" s="76"/>
      <c r="N199" s="2"/>
      <c r="O199" s="2"/>
      <c r="P199" s="2"/>
      <c r="Q199" s="2"/>
      <c r="R199" s="2"/>
    </row>
    <row r="200" spans="1:18" ht="15.75">
      <c r="A200" s="77"/>
      <c r="B200" s="74"/>
      <c r="C200" s="75"/>
      <c r="D200" s="75"/>
      <c r="E200" s="75"/>
      <c r="F200" s="75"/>
      <c r="G200" s="75"/>
      <c r="H200" s="75"/>
      <c r="I200" s="75"/>
      <c r="J200" s="75"/>
      <c r="K200" s="196"/>
      <c r="L200" s="196"/>
      <c r="M200" s="76"/>
      <c r="N200" s="2"/>
      <c r="O200" s="2"/>
      <c r="P200" s="2"/>
      <c r="Q200" s="2"/>
      <c r="R200" s="2"/>
    </row>
    <row r="201" spans="1:18" ht="15">
      <c r="A201" s="2"/>
      <c r="B201" s="74"/>
      <c r="C201" s="75"/>
      <c r="D201" s="75"/>
      <c r="E201" s="75"/>
      <c r="F201" s="75"/>
      <c r="G201" s="75"/>
      <c r="H201" s="75"/>
      <c r="I201" s="75"/>
      <c r="J201" s="75"/>
      <c r="K201" s="196"/>
      <c r="L201" s="196"/>
      <c r="M201" s="76"/>
      <c r="N201" s="2"/>
      <c r="O201" s="2"/>
      <c r="P201" s="2"/>
      <c r="Q201" s="2"/>
      <c r="R201" s="2"/>
    </row>
    <row r="202" spans="1:18" ht="15">
      <c r="A202" s="2"/>
      <c r="B202" s="74"/>
      <c r="C202" s="75"/>
      <c r="D202" s="75"/>
      <c r="E202" s="75"/>
      <c r="F202" s="75"/>
      <c r="G202" s="75"/>
      <c r="H202" s="75"/>
      <c r="I202" s="75"/>
      <c r="J202" s="75"/>
      <c r="K202" s="196"/>
      <c r="L202" s="196"/>
      <c r="M202" s="76"/>
      <c r="N202" s="2"/>
      <c r="O202" s="2"/>
      <c r="P202" s="2"/>
      <c r="Q202" s="2"/>
      <c r="R202" s="2"/>
    </row>
    <row r="203" spans="1:18" ht="15">
      <c r="A203" s="2"/>
      <c r="B203" s="78"/>
      <c r="C203" s="75"/>
      <c r="D203" s="75"/>
      <c r="E203" s="75"/>
      <c r="F203" s="75"/>
      <c r="G203" s="75"/>
      <c r="H203" s="75"/>
      <c r="I203" s="75"/>
      <c r="J203" s="75"/>
      <c r="K203" s="196"/>
      <c r="L203" s="196"/>
      <c r="M203" s="76"/>
      <c r="N203" s="2"/>
      <c r="O203" s="2"/>
      <c r="P203" s="2"/>
      <c r="Q203" s="2"/>
      <c r="R203" s="2"/>
    </row>
    <row r="204" spans="1:18" ht="15">
      <c r="A204" s="2"/>
      <c r="B204" s="78"/>
      <c r="C204" s="75"/>
      <c r="D204" s="75"/>
      <c r="E204" s="75"/>
      <c r="F204" s="75"/>
      <c r="G204" s="75"/>
      <c r="H204" s="75"/>
      <c r="I204" s="75"/>
      <c r="J204" s="75"/>
      <c r="K204" s="196"/>
      <c r="L204" s="196"/>
      <c r="M204" s="76"/>
      <c r="N204" s="2"/>
      <c r="O204" s="2"/>
      <c r="P204" s="2"/>
      <c r="Q204" s="2"/>
      <c r="R204" s="2"/>
    </row>
    <row r="205" spans="1:18" ht="15">
      <c r="A205" s="2"/>
      <c r="B205" s="78"/>
      <c r="C205" s="75"/>
      <c r="D205" s="75"/>
      <c r="E205" s="75"/>
      <c r="F205" s="75"/>
      <c r="G205" s="75"/>
      <c r="H205" s="75"/>
      <c r="I205" s="75"/>
      <c r="J205" s="75"/>
      <c r="K205" s="196"/>
      <c r="L205" s="196"/>
      <c r="M205" s="76"/>
      <c r="N205" s="2"/>
      <c r="O205" s="2"/>
      <c r="P205" s="2"/>
      <c r="Q205" s="2"/>
      <c r="R205" s="2"/>
    </row>
    <row r="206" spans="1:18" ht="15">
      <c r="A206" s="2"/>
      <c r="B206" s="78"/>
      <c r="C206" s="75"/>
      <c r="D206" s="75"/>
      <c r="E206" s="75"/>
      <c r="F206" s="75"/>
      <c r="G206" s="75"/>
      <c r="H206" s="75"/>
      <c r="I206" s="75"/>
      <c r="J206" s="75"/>
      <c r="K206" s="196"/>
      <c r="L206" s="196"/>
      <c r="M206" s="76"/>
      <c r="N206" s="2"/>
      <c r="O206" s="2"/>
      <c r="P206" s="2"/>
      <c r="Q206" s="2"/>
      <c r="R206" s="2"/>
    </row>
    <row r="207" spans="1:18" ht="15">
      <c r="A207" s="2"/>
      <c r="B207" s="78"/>
      <c r="C207" s="75"/>
      <c r="D207" s="75"/>
      <c r="E207" s="75"/>
      <c r="F207" s="75"/>
      <c r="G207" s="75"/>
      <c r="H207" s="75"/>
      <c r="I207" s="75"/>
      <c r="J207" s="75"/>
      <c r="K207" s="196"/>
      <c r="L207" s="196"/>
      <c r="M207" s="76"/>
      <c r="N207" s="2"/>
      <c r="O207" s="2"/>
      <c r="P207" s="2"/>
      <c r="Q207" s="2"/>
      <c r="R207" s="2"/>
    </row>
    <row r="208" spans="1:18" ht="15">
      <c r="A208" s="2"/>
      <c r="B208" s="78"/>
      <c r="C208" s="75"/>
      <c r="D208" s="75"/>
      <c r="E208" s="75"/>
      <c r="F208" s="75"/>
      <c r="G208" s="75"/>
      <c r="H208" s="75"/>
      <c r="I208" s="75"/>
      <c r="J208" s="75"/>
      <c r="K208" s="196"/>
      <c r="L208" s="196"/>
      <c r="M208" s="76"/>
      <c r="N208" s="2"/>
      <c r="O208" s="2"/>
      <c r="P208" s="2"/>
      <c r="Q208" s="2"/>
      <c r="R208" s="2"/>
    </row>
    <row r="209" spans="1:18" ht="15">
      <c r="A209" s="2"/>
      <c r="B209" s="78"/>
      <c r="C209" s="75"/>
      <c r="D209" s="75"/>
      <c r="E209" s="75"/>
      <c r="F209" s="75"/>
      <c r="G209" s="75"/>
      <c r="H209" s="75"/>
      <c r="I209" s="75"/>
      <c r="J209" s="75"/>
      <c r="K209" s="196"/>
      <c r="L209" s="196"/>
      <c r="M209" s="76"/>
      <c r="N209" s="2"/>
      <c r="O209" s="2"/>
      <c r="P209" s="2"/>
      <c r="Q209" s="2"/>
      <c r="R209" s="2"/>
    </row>
    <row r="210" spans="1:18" ht="15">
      <c r="A210" s="2"/>
      <c r="B210" s="78"/>
      <c r="C210" s="75"/>
      <c r="D210" s="75"/>
      <c r="E210" s="75"/>
      <c r="F210" s="75"/>
      <c r="G210" s="75"/>
      <c r="H210" s="75"/>
      <c r="I210" s="75"/>
      <c r="J210" s="75"/>
      <c r="K210" s="196"/>
      <c r="L210" s="196"/>
      <c r="M210" s="76"/>
      <c r="N210" s="2"/>
      <c r="O210" s="2"/>
      <c r="P210" s="2"/>
      <c r="Q210" s="2"/>
      <c r="R210" s="2"/>
    </row>
    <row r="211" spans="1:18" ht="15">
      <c r="A211" s="2"/>
      <c r="B211" s="78"/>
      <c r="C211" s="75"/>
      <c r="D211" s="75"/>
      <c r="E211" s="75"/>
      <c r="F211" s="75"/>
      <c r="G211" s="75"/>
      <c r="H211" s="75"/>
      <c r="I211" s="75"/>
      <c r="J211" s="75"/>
      <c r="K211" s="196"/>
      <c r="L211" s="196"/>
      <c r="M211" s="76"/>
      <c r="N211" s="2"/>
      <c r="O211" s="2"/>
      <c r="P211" s="2"/>
      <c r="Q211" s="2"/>
      <c r="R211" s="2"/>
    </row>
    <row r="212" spans="1:18" ht="15">
      <c r="A212" s="2"/>
      <c r="B212" s="2"/>
      <c r="C212" s="75"/>
      <c r="D212" s="75"/>
      <c r="E212" s="75"/>
      <c r="F212" s="75"/>
      <c r="G212" s="75"/>
      <c r="H212" s="75"/>
      <c r="I212" s="75"/>
      <c r="J212" s="75"/>
      <c r="K212" s="196"/>
      <c r="L212" s="196"/>
      <c r="M212" s="76"/>
      <c r="N212" s="2"/>
      <c r="O212" s="2"/>
      <c r="P212" s="2"/>
      <c r="Q212" s="2"/>
      <c r="R212" s="2"/>
    </row>
    <row r="213" spans="1:18" ht="15.75">
      <c r="A213" s="77"/>
      <c r="B213" s="2"/>
      <c r="C213" s="75"/>
      <c r="D213" s="75"/>
      <c r="E213" s="75"/>
      <c r="F213" s="75"/>
      <c r="G213" s="75"/>
      <c r="H213" s="75"/>
      <c r="I213" s="75"/>
      <c r="J213" s="75"/>
      <c r="K213" s="196"/>
      <c r="L213" s="196"/>
      <c r="M213" s="76"/>
      <c r="N213" s="2"/>
      <c r="O213" s="2"/>
      <c r="P213" s="2"/>
      <c r="Q213" s="2"/>
      <c r="R213" s="2"/>
    </row>
    <row r="214" spans="1:18" ht="15">
      <c r="A214" s="2"/>
      <c r="B214" s="2"/>
      <c r="C214" s="75"/>
      <c r="D214" s="75"/>
      <c r="E214" s="75"/>
      <c r="F214" s="75"/>
      <c r="G214" s="75"/>
      <c r="H214" s="75"/>
      <c r="I214" s="75"/>
      <c r="J214" s="75"/>
      <c r="K214" s="196"/>
      <c r="L214" s="196"/>
      <c r="M214" s="76"/>
      <c r="N214" s="2"/>
      <c r="O214" s="2"/>
      <c r="P214" s="2"/>
      <c r="Q214" s="2"/>
      <c r="R214" s="2"/>
    </row>
    <row r="215" spans="1:18" ht="15">
      <c r="A215" s="2"/>
      <c r="B215" s="2"/>
      <c r="C215" s="75"/>
      <c r="D215" s="75"/>
      <c r="E215" s="75"/>
      <c r="F215" s="75"/>
      <c r="G215" s="75"/>
      <c r="H215" s="75"/>
      <c r="I215" s="75"/>
      <c r="J215" s="75"/>
      <c r="K215" s="196"/>
      <c r="L215" s="196"/>
      <c r="M215" s="76"/>
      <c r="N215" s="2"/>
      <c r="O215" s="2"/>
      <c r="P215" s="2"/>
      <c r="Q215" s="2"/>
      <c r="R215" s="2"/>
    </row>
    <row r="216" spans="1:18" ht="15.75">
      <c r="A216" s="77"/>
      <c r="B216" s="2"/>
      <c r="C216" s="75"/>
      <c r="D216" s="75"/>
      <c r="E216" s="75"/>
      <c r="F216" s="75"/>
      <c r="G216" s="75"/>
      <c r="H216" s="75"/>
      <c r="I216" s="75"/>
      <c r="J216" s="75"/>
      <c r="K216" s="196"/>
      <c r="L216" s="196"/>
      <c r="M216" s="76"/>
      <c r="N216" s="2"/>
      <c r="O216" s="2"/>
      <c r="P216" s="2"/>
      <c r="Q216" s="2"/>
      <c r="R216" s="2"/>
    </row>
    <row r="217" spans="1:18" ht="15.75">
      <c r="A217" s="77"/>
      <c r="B217" s="2"/>
      <c r="C217" s="75"/>
      <c r="D217" s="75"/>
      <c r="E217" s="75"/>
      <c r="F217" s="75"/>
      <c r="G217" s="75"/>
      <c r="H217" s="75"/>
      <c r="I217" s="75"/>
      <c r="J217" s="75"/>
      <c r="K217" s="196"/>
      <c r="L217" s="196"/>
      <c r="M217" s="76"/>
      <c r="N217" s="2"/>
      <c r="O217" s="2"/>
      <c r="P217" s="2"/>
      <c r="Q217" s="2"/>
      <c r="R217" s="2"/>
    </row>
    <row r="218" spans="1:18" ht="15.75">
      <c r="A218" s="77"/>
      <c r="B218" s="78"/>
      <c r="C218" s="75"/>
      <c r="D218" s="75"/>
      <c r="E218" s="75"/>
      <c r="F218" s="75"/>
      <c r="G218" s="75"/>
      <c r="H218" s="75"/>
      <c r="I218" s="75"/>
      <c r="J218" s="75"/>
      <c r="K218" s="196"/>
      <c r="L218" s="196"/>
      <c r="M218" s="76"/>
      <c r="N218" s="2"/>
      <c r="O218" s="2"/>
      <c r="P218" s="2"/>
      <c r="Q218" s="2"/>
      <c r="R218" s="2"/>
    </row>
    <row r="219" spans="1:18" ht="15">
      <c r="A219" s="2"/>
      <c r="B219" s="78"/>
      <c r="C219" s="75"/>
      <c r="D219" s="75"/>
      <c r="E219" s="75"/>
      <c r="F219" s="75"/>
      <c r="G219" s="75"/>
      <c r="H219" s="75"/>
      <c r="I219" s="75"/>
      <c r="J219" s="75"/>
      <c r="K219" s="196"/>
      <c r="L219" s="196"/>
      <c r="M219" s="76"/>
      <c r="N219" s="2"/>
      <c r="O219" s="2"/>
      <c r="P219" s="2"/>
      <c r="Q219" s="2"/>
      <c r="R219" s="2"/>
    </row>
    <row r="220" spans="1:18" ht="15">
      <c r="A220" s="2"/>
      <c r="B220" s="78"/>
      <c r="C220" s="75"/>
      <c r="D220" s="75"/>
      <c r="E220" s="75"/>
      <c r="F220" s="75"/>
      <c r="G220" s="75"/>
      <c r="H220" s="75"/>
      <c r="I220" s="75"/>
      <c r="J220" s="75"/>
      <c r="K220" s="196"/>
      <c r="L220" s="196"/>
      <c r="M220" s="76"/>
      <c r="N220" s="2"/>
      <c r="O220" s="2"/>
      <c r="P220" s="2"/>
      <c r="Q220" s="2"/>
      <c r="R220" s="2"/>
    </row>
    <row r="221" spans="1:18" ht="15">
      <c r="A221" s="2"/>
      <c r="B221" s="78"/>
      <c r="C221" s="75"/>
      <c r="D221" s="75"/>
      <c r="E221" s="75"/>
      <c r="F221" s="75"/>
      <c r="G221" s="75"/>
      <c r="H221" s="75"/>
      <c r="I221" s="75"/>
      <c r="J221" s="75"/>
      <c r="K221" s="196"/>
      <c r="L221" s="196"/>
      <c r="M221" s="76"/>
      <c r="N221" s="2"/>
      <c r="O221" s="2"/>
      <c r="P221" s="2"/>
      <c r="Q221" s="2"/>
      <c r="R221" s="2"/>
    </row>
    <row r="222" spans="1:18" ht="15">
      <c r="A222" s="2"/>
      <c r="B222" s="78"/>
      <c r="C222" s="75"/>
      <c r="D222" s="75"/>
      <c r="E222" s="75"/>
      <c r="F222" s="75"/>
      <c r="G222" s="75"/>
      <c r="H222" s="75"/>
      <c r="I222" s="75"/>
      <c r="J222" s="75"/>
      <c r="K222" s="196"/>
      <c r="L222" s="196"/>
      <c r="M222" s="76"/>
      <c r="N222" s="2"/>
      <c r="O222" s="2"/>
      <c r="P222" s="2"/>
      <c r="Q222" s="2"/>
      <c r="R222" s="2"/>
    </row>
    <row r="223" spans="1:18" ht="15">
      <c r="A223" s="2"/>
      <c r="B223" s="78"/>
      <c r="C223" s="75"/>
      <c r="D223" s="75"/>
      <c r="E223" s="75"/>
      <c r="F223" s="75"/>
      <c r="G223" s="75"/>
      <c r="H223" s="75"/>
      <c r="I223" s="75"/>
      <c r="J223" s="75"/>
      <c r="K223" s="196"/>
      <c r="L223" s="196"/>
      <c r="M223" s="76"/>
      <c r="N223" s="2"/>
      <c r="O223" s="2"/>
      <c r="P223" s="2"/>
      <c r="Q223" s="2"/>
      <c r="R223" s="2"/>
    </row>
    <row r="224" spans="1:18" ht="15">
      <c r="A224" s="2"/>
      <c r="B224" s="78"/>
      <c r="C224" s="75"/>
      <c r="D224" s="75"/>
      <c r="E224" s="75"/>
      <c r="F224" s="75"/>
      <c r="G224" s="75"/>
      <c r="H224" s="75"/>
      <c r="I224" s="75"/>
      <c r="J224" s="75"/>
      <c r="K224" s="196"/>
      <c r="L224" s="196"/>
      <c r="M224" s="76"/>
      <c r="N224" s="2"/>
      <c r="O224" s="2"/>
      <c r="P224" s="2"/>
      <c r="Q224" s="2"/>
      <c r="R224" s="2"/>
    </row>
    <row r="225" spans="1:18" ht="15">
      <c r="A225" s="2"/>
      <c r="B225" s="78"/>
      <c r="C225" s="75"/>
      <c r="D225" s="75"/>
      <c r="E225" s="75"/>
      <c r="F225" s="75"/>
      <c r="G225" s="75"/>
      <c r="H225" s="75"/>
      <c r="I225" s="75"/>
      <c r="J225" s="75"/>
      <c r="K225" s="196"/>
      <c r="L225" s="196"/>
      <c r="M225" s="76"/>
      <c r="N225" s="2"/>
      <c r="O225" s="2"/>
      <c r="P225" s="2"/>
      <c r="Q225" s="2"/>
      <c r="R225" s="2"/>
    </row>
    <row r="226" spans="1:18" ht="15">
      <c r="A226" s="2"/>
      <c r="B226" s="78"/>
      <c r="C226" s="75"/>
      <c r="D226" s="75"/>
      <c r="E226" s="75"/>
      <c r="F226" s="75"/>
      <c r="G226" s="75"/>
      <c r="H226" s="75"/>
      <c r="I226" s="75"/>
      <c r="J226" s="75"/>
      <c r="K226" s="196"/>
      <c r="L226" s="196"/>
      <c r="M226" s="76"/>
      <c r="N226" s="2"/>
      <c r="O226" s="2"/>
      <c r="P226" s="2"/>
      <c r="Q226" s="2"/>
      <c r="R226" s="2"/>
    </row>
    <row r="227" spans="1:18" ht="15">
      <c r="A227" s="2"/>
      <c r="B227" s="78"/>
      <c r="C227" s="75"/>
      <c r="D227" s="75"/>
      <c r="E227" s="75"/>
      <c r="F227" s="75"/>
      <c r="G227" s="75"/>
      <c r="H227" s="75"/>
      <c r="I227" s="75"/>
      <c r="J227" s="75"/>
      <c r="K227" s="196"/>
      <c r="L227" s="196"/>
      <c r="M227" s="76"/>
      <c r="N227" s="2"/>
      <c r="O227" s="2"/>
      <c r="P227" s="2"/>
      <c r="Q227" s="2"/>
      <c r="R227" s="2"/>
    </row>
    <row r="228" spans="1:18" ht="15">
      <c r="A228" s="2"/>
      <c r="B228" s="78"/>
      <c r="C228" s="75"/>
      <c r="D228" s="75"/>
      <c r="E228" s="75"/>
      <c r="F228" s="75"/>
      <c r="G228" s="75"/>
      <c r="H228" s="75"/>
      <c r="I228" s="75"/>
      <c r="J228" s="75"/>
      <c r="K228" s="196"/>
      <c r="L228" s="196"/>
      <c r="M228" s="76"/>
      <c r="N228" s="2"/>
      <c r="O228" s="2"/>
      <c r="P228" s="2"/>
      <c r="Q228" s="2"/>
      <c r="R228" s="2"/>
    </row>
    <row r="229" spans="1:18" ht="15">
      <c r="A229" s="2"/>
      <c r="B229" s="78"/>
      <c r="C229" s="75"/>
      <c r="D229" s="75"/>
      <c r="E229" s="75"/>
      <c r="F229" s="75"/>
      <c r="G229" s="75"/>
      <c r="H229" s="75"/>
      <c r="I229" s="75"/>
      <c r="J229" s="75"/>
      <c r="K229" s="196"/>
      <c r="L229" s="196"/>
      <c r="M229" s="76"/>
      <c r="N229" s="2"/>
      <c r="O229" s="2"/>
      <c r="P229" s="2"/>
      <c r="Q229" s="2"/>
      <c r="R229" s="2"/>
    </row>
    <row r="230" spans="1:18" ht="15">
      <c r="A230" s="2"/>
      <c r="B230" s="2"/>
      <c r="C230" s="75"/>
      <c r="D230" s="75"/>
      <c r="E230" s="75"/>
      <c r="F230" s="75"/>
      <c r="G230" s="75"/>
      <c r="H230" s="75"/>
      <c r="I230" s="75"/>
      <c r="J230" s="75"/>
      <c r="K230" s="196"/>
      <c r="L230" s="196"/>
      <c r="M230" s="76"/>
      <c r="N230" s="2"/>
      <c r="O230" s="2"/>
      <c r="P230" s="2"/>
      <c r="Q230" s="2"/>
      <c r="R230" s="2"/>
    </row>
    <row r="231" spans="1:18" ht="15.75">
      <c r="A231" s="77"/>
      <c r="B231" s="2"/>
      <c r="C231" s="75"/>
      <c r="D231" s="75"/>
      <c r="E231" s="75"/>
      <c r="F231" s="75"/>
      <c r="G231" s="75"/>
      <c r="H231" s="75"/>
      <c r="I231" s="75"/>
      <c r="J231" s="75"/>
      <c r="K231" s="196"/>
      <c r="L231" s="196"/>
      <c r="M231" s="76"/>
      <c r="N231" s="2"/>
      <c r="O231" s="2"/>
      <c r="P231" s="2"/>
      <c r="Q231" s="2"/>
      <c r="R231" s="2"/>
    </row>
    <row r="232" spans="1:18" ht="15">
      <c r="A232" s="2"/>
      <c r="B232" s="2"/>
      <c r="C232" s="75"/>
      <c r="D232" s="75"/>
      <c r="E232" s="75"/>
      <c r="F232" s="75"/>
      <c r="G232" s="75"/>
      <c r="H232" s="75"/>
      <c r="I232" s="75"/>
      <c r="J232" s="75"/>
      <c r="K232" s="196"/>
      <c r="L232" s="196"/>
      <c r="M232" s="76"/>
      <c r="N232" s="2"/>
      <c r="O232" s="2"/>
      <c r="P232" s="2"/>
      <c r="Q232" s="2"/>
      <c r="R232" s="2"/>
    </row>
    <row r="233" spans="1:18" ht="15">
      <c r="A233" s="2"/>
      <c r="B233" s="2"/>
      <c r="C233" s="75"/>
      <c r="D233" s="75"/>
      <c r="E233" s="75"/>
      <c r="F233" s="75"/>
      <c r="G233" s="75"/>
      <c r="H233" s="75"/>
      <c r="I233" s="75"/>
      <c r="J233" s="75"/>
      <c r="K233" s="196"/>
      <c r="L233" s="196"/>
      <c r="M233" s="76"/>
      <c r="N233" s="2"/>
      <c r="O233" s="2"/>
      <c r="P233" s="2"/>
      <c r="Q233" s="2"/>
      <c r="R233" s="2"/>
    </row>
    <row r="234" spans="1:18" ht="15.75">
      <c r="A234" s="77"/>
      <c r="B234" s="78"/>
      <c r="C234" s="75"/>
      <c r="D234" s="75"/>
      <c r="E234" s="75"/>
      <c r="F234" s="75"/>
      <c r="G234" s="75"/>
      <c r="H234" s="75"/>
      <c r="I234" s="75"/>
      <c r="J234" s="75"/>
      <c r="K234" s="196"/>
      <c r="L234" s="196"/>
      <c r="M234" s="76"/>
      <c r="N234" s="2"/>
      <c r="O234" s="2"/>
      <c r="P234" s="2"/>
      <c r="Q234" s="2"/>
      <c r="R234" s="2"/>
    </row>
    <row r="235" spans="1:18" ht="15">
      <c r="A235" s="2"/>
      <c r="B235" s="78"/>
      <c r="C235" s="75"/>
      <c r="D235" s="75"/>
      <c r="E235" s="75"/>
      <c r="F235" s="75"/>
      <c r="G235" s="75"/>
      <c r="H235" s="75"/>
      <c r="I235" s="75"/>
      <c r="J235" s="75"/>
      <c r="K235" s="196"/>
      <c r="L235" s="196"/>
      <c r="M235" s="76"/>
      <c r="N235" s="2"/>
      <c r="O235" s="2"/>
      <c r="P235" s="2"/>
      <c r="Q235" s="2"/>
      <c r="R235" s="2"/>
    </row>
    <row r="236" spans="1:18" ht="15">
      <c r="A236" s="2"/>
      <c r="B236" s="78"/>
      <c r="C236" s="75"/>
      <c r="D236" s="75"/>
      <c r="E236" s="75"/>
      <c r="F236" s="75"/>
      <c r="G236" s="75"/>
      <c r="H236" s="75"/>
      <c r="I236" s="75"/>
      <c r="J236" s="75"/>
      <c r="K236" s="196"/>
      <c r="L236" s="196"/>
      <c r="M236" s="76"/>
      <c r="N236" s="2"/>
      <c r="O236" s="2"/>
      <c r="P236" s="2"/>
      <c r="Q236" s="2"/>
      <c r="R236" s="2"/>
    </row>
    <row r="237" spans="1:18" ht="15">
      <c r="A237" s="2"/>
      <c r="B237" s="2"/>
      <c r="C237" s="75"/>
      <c r="D237" s="75"/>
      <c r="E237" s="75"/>
      <c r="F237" s="75"/>
      <c r="G237" s="75"/>
      <c r="H237" s="75"/>
      <c r="I237" s="75"/>
      <c r="J237" s="75"/>
      <c r="K237" s="196"/>
      <c r="L237" s="196"/>
      <c r="M237" s="76"/>
      <c r="N237" s="2"/>
      <c r="O237" s="2"/>
      <c r="P237" s="2"/>
      <c r="Q237" s="2"/>
      <c r="R237" s="2"/>
    </row>
    <row r="238" spans="1:18" ht="15">
      <c r="A238" s="2"/>
      <c r="B238" s="2"/>
      <c r="C238" s="75"/>
      <c r="D238" s="75"/>
      <c r="E238" s="75"/>
      <c r="F238" s="75"/>
      <c r="G238" s="75"/>
      <c r="H238" s="75"/>
      <c r="I238" s="75"/>
      <c r="J238" s="75"/>
      <c r="K238" s="196"/>
      <c r="L238" s="196"/>
      <c r="M238" s="76"/>
      <c r="N238" s="2"/>
      <c r="O238" s="2"/>
      <c r="P238" s="2"/>
      <c r="Q238" s="2"/>
      <c r="R238" s="2"/>
    </row>
    <row r="239" spans="1:18" ht="15">
      <c r="A239" s="2"/>
      <c r="B239" s="2"/>
      <c r="C239" s="75"/>
      <c r="D239" s="75"/>
      <c r="E239" s="75"/>
      <c r="F239" s="75"/>
      <c r="G239" s="75"/>
      <c r="H239" s="75"/>
      <c r="I239" s="75"/>
      <c r="J239" s="75"/>
      <c r="K239" s="196"/>
      <c r="L239" s="196"/>
      <c r="M239" s="76"/>
      <c r="N239" s="2"/>
      <c r="O239" s="2"/>
      <c r="P239" s="2"/>
      <c r="Q239" s="2"/>
      <c r="R239" s="2"/>
    </row>
    <row r="240" spans="1:18" ht="15.75">
      <c r="A240" s="77"/>
      <c r="B240" s="2"/>
      <c r="C240" s="75"/>
      <c r="D240" s="75"/>
      <c r="E240" s="75"/>
      <c r="F240" s="75"/>
      <c r="G240" s="75"/>
      <c r="H240" s="75"/>
      <c r="I240" s="75"/>
      <c r="J240" s="75"/>
      <c r="K240" s="196"/>
      <c r="L240" s="196"/>
      <c r="M240" s="76"/>
      <c r="N240" s="2"/>
      <c r="O240" s="2"/>
      <c r="P240" s="2"/>
      <c r="Q240" s="2"/>
      <c r="R240" s="2"/>
    </row>
    <row r="241" spans="1:18" ht="15">
      <c r="A241" s="2"/>
      <c r="B241" s="2"/>
      <c r="C241" s="75"/>
      <c r="D241" s="75"/>
      <c r="E241" s="75"/>
      <c r="F241" s="75"/>
      <c r="G241" s="75"/>
      <c r="H241" s="75"/>
      <c r="I241" s="75"/>
      <c r="J241" s="75"/>
      <c r="K241" s="196"/>
      <c r="L241" s="196"/>
      <c r="M241" s="76"/>
      <c r="N241" s="2"/>
      <c r="O241" s="2"/>
      <c r="P241" s="2"/>
      <c r="Q241" s="2"/>
      <c r="R241" s="2"/>
    </row>
    <row r="242" spans="1:18" ht="15">
      <c r="A242" s="2"/>
      <c r="B242" s="2"/>
      <c r="C242" s="75"/>
      <c r="D242" s="75"/>
      <c r="E242" s="75"/>
      <c r="F242" s="75"/>
      <c r="G242" s="75"/>
      <c r="H242" s="75"/>
      <c r="I242" s="75"/>
      <c r="J242" s="75"/>
      <c r="K242" s="196"/>
      <c r="L242" s="196"/>
      <c r="M242" s="76"/>
      <c r="N242" s="2"/>
      <c r="O242" s="2"/>
      <c r="P242" s="2"/>
      <c r="Q242" s="2"/>
      <c r="R242" s="2"/>
    </row>
    <row r="243" spans="1:18" ht="15.75">
      <c r="A243" s="77"/>
      <c r="B243" s="77"/>
      <c r="C243" s="75"/>
      <c r="D243" s="75"/>
      <c r="E243" s="75"/>
      <c r="F243" s="75"/>
      <c r="G243" s="75"/>
      <c r="H243" s="75"/>
      <c r="I243" s="75"/>
      <c r="J243" s="75"/>
      <c r="K243" s="196"/>
      <c r="L243" s="196"/>
      <c r="M243" s="76"/>
      <c r="N243" s="2"/>
      <c r="O243" s="2"/>
      <c r="P243" s="2"/>
      <c r="Q243" s="2"/>
      <c r="R243" s="2"/>
    </row>
    <row r="244" spans="1:18" ht="15">
      <c r="A244" s="2"/>
      <c r="B244" s="2"/>
      <c r="C244" s="75"/>
      <c r="D244" s="75"/>
      <c r="E244" s="75"/>
      <c r="F244" s="75"/>
      <c r="G244" s="75"/>
      <c r="H244" s="75"/>
      <c r="I244" s="75"/>
      <c r="J244" s="75"/>
      <c r="K244" s="196"/>
      <c r="L244" s="196"/>
      <c r="M244" s="76"/>
      <c r="N244" s="2"/>
      <c r="O244" s="2"/>
      <c r="P244" s="2"/>
      <c r="Q244" s="2"/>
      <c r="R244" s="2"/>
    </row>
    <row r="245" spans="1:18" ht="15">
      <c r="A245" s="2"/>
      <c r="B245" s="2"/>
      <c r="C245" s="75"/>
      <c r="D245" s="75"/>
      <c r="E245" s="75"/>
      <c r="F245" s="75"/>
      <c r="G245" s="75"/>
      <c r="H245" s="75"/>
      <c r="I245" s="75"/>
      <c r="J245" s="75"/>
      <c r="K245" s="196"/>
      <c r="L245" s="196"/>
      <c r="M245" s="76"/>
      <c r="N245" s="2"/>
      <c r="O245" s="2"/>
      <c r="P245" s="2"/>
      <c r="Q245" s="2"/>
      <c r="R245" s="2"/>
    </row>
    <row r="246" spans="1:18" ht="15">
      <c r="A246" s="2"/>
      <c r="B246" s="2"/>
      <c r="C246" s="75"/>
      <c r="D246" s="75"/>
      <c r="E246" s="75"/>
      <c r="F246" s="75"/>
      <c r="G246" s="75"/>
      <c r="H246" s="75"/>
      <c r="I246" s="75"/>
      <c r="J246" s="75"/>
      <c r="K246" s="196"/>
      <c r="L246" s="196"/>
      <c r="M246" s="76"/>
      <c r="N246" s="2"/>
      <c r="O246" s="2"/>
      <c r="P246" s="2"/>
      <c r="Q246" s="2"/>
      <c r="R246" s="2"/>
    </row>
    <row r="247" spans="1:18" ht="15">
      <c r="A247" s="2"/>
      <c r="B247" s="2"/>
      <c r="C247" s="75"/>
      <c r="D247" s="75"/>
      <c r="E247" s="75"/>
      <c r="F247" s="75"/>
      <c r="G247" s="75"/>
      <c r="H247" s="75"/>
      <c r="I247" s="75"/>
      <c r="J247" s="75"/>
      <c r="K247" s="196"/>
      <c r="L247" s="196"/>
      <c r="M247" s="76"/>
      <c r="N247" s="2"/>
      <c r="O247" s="2"/>
      <c r="P247" s="2"/>
      <c r="Q247" s="2"/>
      <c r="R247" s="2"/>
    </row>
    <row r="248" spans="1:18" ht="15">
      <c r="A248" s="2"/>
      <c r="B248" s="2"/>
      <c r="C248" s="75"/>
      <c r="D248" s="75"/>
      <c r="E248" s="75"/>
      <c r="F248" s="75"/>
      <c r="G248" s="75"/>
      <c r="H248" s="75"/>
      <c r="I248" s="75"/>
      <c r="J248" s="75"/>
      <c r="K248" s="196"/>
      <c r="L248" s="196"/>
      <c r="M248" s="76"/>
      <c r="N248" s="2"/>
      <c r="O248" s="2"/>
      <c r="P248" s="2"/>
      <c r="Q248" s="2"/>
      <c r="R248" s="2"/>
    </row>
    <row r="249" spans="1:18" ht="15">
      <c r="A249" s="2"/>
      <c r="B249" s="2"/>
      <c r="C249" s="75"/>
      <c r="D249" s="75"/>
      <c r="E249" s="75"/>
      <c r="F249" s="75"/>
      <c r="G249" s="75"/>
      <c r="H249" s="75"/>
      <c r="I249" s="75"/>
      <c r="J249" s="75"/>
      <c r="K249" s="196"/>
      <c r="L249" s="196"/>
      <c r="M249" s="76"/>
      <c r="N249" s="2"/>
      <c r="O249" s="2"/>
      <c r="P249" s="2"/>
      <c r="Q249" s="2"/>
      <c r="R249" s="2"/>
    </row>
    <row r="250" spans="1:18" ht="15">
      <c r="A250" s="2"/>
      <c r="B250" s="2"/>
      <c r="C250" s="75"/>
      <c r="D250" s="75"/>
      <c r="E250" s="75"/>
      <c r="F250" s="75"/>
      <c r="G250" s="75"/>
      <c r="H250" s="75"/>
      <c r="I250" s="75"/>
      <c r="J250" s="75"/>
      <c r="K250" s="196"/>
      <c r="L250" s="196"/>
      <c r="M250" s="76"/>
      <c r="N250" s="2"/>
      <c r="O250" s="2"/>
      <c r="P250" s="2"/>
      <c r="Q250" s="2"/>
      <c r="R250" s="2"/>
    </row>
    <row r="251" spans="1:18" ht="15">
      <c r="A251" s="2"/>
      <c r="B251" s="2"/>
      <c r="C251" s="75"/>
      <c r="D251" s="75"/>
      <c r="E251" s="75"/>
      <c r="F251" s="75"/>
      <c r="G251" s="75"/>
      <c r="H251" s="75"/>
      <c r="I251" s="75"/>
      <c r="J251" s="75"/>
      <c r="K251" s="196"/>
      <c r="L251" s="196"/>
      <c r="M251" s="76"/>
      <c r="N251" s="2"/>
      <c r="O251" s="2"/>
      <c r="P251" s="2"/>
      <c r="Q251" s="2"/>
      <c r="R251" s="2"/>
    </row>
    <row r="252" spans="1:18" ht="15">
      <c r="A252" s="2"/>
      <c r="B252" s="2"/>
      <c r="C252" s="75"/>
      <c r="D252" s="75"/>
      <c r="E252" s="75"/>
      <c r="F252" s="75"/>
      <c r="G252" s="75"/>
      <c r="H252" s="75"/>
      <c r="I252" s="75"/>
      <c r="J252" s="75"/>
      <c r="K252" s="196"/>
      <c r="L252" s="196"/>
      <c r="M252" s="76"/>
      <c r="N252" s="2"/>
      <c r="O252" s="2"/>
      <c r="P252" s="2"/>
      <c r="Q252" s="2"/>
      <c r="R252" s="2"/>
    </row>
    <row r="253" spans="1:18" ht="15">
      <c r="A253" s="2"/>
      <c r="B253" s="2"/>
      <c r="C253" s="75"/>
      <c r="D253" s="75"/>
      <c r="E253" s="75"/>
      <c r="F253" s="75"/>
      <c r="G253" s="75"/>
      <c r="H253" s="75"/>
      <c r="I253" s="75"/>
      <c r="J253" s="75"/>
      <c r="K253" s="196"/>
      <c r="L253" s="196"/>
      <c r="M253" s="76"/>
      <c r="N253" s="2"/>
      <c r="O253" s="2"/>
      <c r="P253" s="2"/>
      <c r="Q253" s="2"/>
      <c r="R253" s="2"/>
    </row>
    <row r="254" spans="1:18" ht="15">
      <c r="A254" s="2"/>
      <c r="B254" s="2"/>
      <c r="C254" s="75"/>
      <c r="D254" s="75"/>
      <c r="E254" s="75"/>
      <c r="F254" s="75"/>
      <c r="G254" s="75"/>
      <c r="H254" s="75"/>
      <c r="I254" s="75"/>
      <c r="J254" s="75"/>
      <c r="K254" s="196"/>
      <c r="L254" s="196"/>
      <c r="M254" s="76"/>
      <c r="N254" s="2"/>
      <c r="O254" s="2"/>
      <c r="P254" s="2"/>
      <c r="Q254" s="2"/>
      <c r="R254" s="2"/>
    </row>
    <row r="255" spans="1:18" ht="15">
      <c r="A255" s="2"/>
      <c r="B255" s="2"/>
      <c r="C255" s="75"/>
      <c r="D255" s="75"/>
      <c r="E255" s="75"/>
      <c r="F255" s="75"/>
      <c r="G255" s="75"/>
      <c r="H255" s="75"/>
      <c r="I255" s="75"/>
      <c r="J255" s="75"/>
      <c r="K255" s="196"/>
      <c r="L255" s="196"/>
      <c r="M255" s="76"/>
      <c r="N255" s="2"/>
      <c r="O255" s="2"/>
      <c r="P255" s="2"/>
      <c r="Q255" s="2"/>
      <c r="R255" s="2"/>
    </row>
    <row r="256" spans="1:18" ht="15">
      <c r="A256" s="2"/>
      <c r="B256" s="2"/>
      <c r="C256" s="75"/>
      <c r="D256" s="75"/>
      <c r="E256" s="75"/>
      <c r="F256" s="75"/>
      <c r="G256" s="75"/>
      <c r="H256" s="75"/>
      <c r="I256" s="75"/>
      <c r="J256" s="75"/>
      <c r="K256" s="196"/>
      <c r="L256" s="196"/>
      <c r="M256" s="76"/>
      <c r="N256" s="2"/>
      <c r="O256" s="2"/>
      <c r="P256" s="2"/>
      <c r="Q256" s="2"/>
      <c r="R256" s="2"/>
    </row>
    <row r="257" spans="1:18" ht="15">
      <c r="A257" s="2"/>
      <c r="B257" s="2"/>
      <c r="C257" s="75"/>
      <c r="D257" s="75"/>
      <c r="E257" s="75"/>
      <c r="F257" s="75"/>
      <c r="G257" s="75"/>
      <c r="H257" s="75"/>
      <c r="I257" s="75"/>
      <c r="J257" s="75"/>
      <c r="K257" s="196"/>
      <c r="L257" s="196"/>
      <c r="M257" s="76"/>
      <c r="N257" s="2"/>
      <c r="O257" s="2"/>
      <c r="P257" s="2"/>
      <c r="Q257" s="2"/>
      <c r="R257" s="2"/>
    </row>
    <row r="258" spans="1:18" ht="15">
      <c r="A258" s="2"/>
      <c r="B258" s="2"/>
      <c r="C258" s="75"/>
      <c r="D258" s="75"/>
      <c r="E258" s="75"/>
      <c r="F258" s="75"/>
      <c r="G258" s="75"/>
      <c r="H258" s="75"/>
      <c r="I258" s="75"/>
      <c r="J258" s="75"/>
      <c r="K258" s="196"/>
      <c r="L258" s="196"/>
      <c r="M258" s="76"/>
      <c r="N258" s="2"/>
      <c r="O258" s="2"/>
      <c r="P258" s="2"/>
      <c r="Q258" s="2"/>
      <c r="R258" s="2"/>
    </row>
    <row r="259" spans="1:18" ht="15">
      <c r="A259" s="2"/>
      <c r="B259" s="2"/>
      <c r="C259" s="75"/>
      <c r="D259" s="75"/>
      <c r="E259" s="75"/>
      <c r="F259" s="75"/>
      <c r="G259" s="75"/>
      <c r="H259" s="75"/>
      <c r="I259" s="75"/>
      <c r="J259" s="75"/>
      <c r="K259" s="196"/>
      <c r="L259" s="196"/>
      <c r="M259" s="76"/>
      <c r="N259" s="2"/>
      <c r="O259" s="2"/>
      <c r="P259" s="2"/>
      <c r="Q259" s="2"/>
      <c r="R259" s="2"/>
    </row>
    <row r="260" spans="1:18" ht="15">
      <c r="A260" s="2"/>
      <c r="B260" s="2"/>
      <c r="C260" s="75"/>
      <c r="D260" s="75"/>
      <c r="E260" s="75"/>
      <c r="F260" s="75"/>
      <c r="G260" s="75"/>
      <c r="H260" s="75"/>
      <c r="I260" s="75"/>
      <c r="J260" s="75"/>
      <c r="K260" s="196"/>
      <c r="L260" s="196"/>
      <c r="M260" s="76"/>
      <c r="N260" s="2"/>
      <c r="O260" s="2"/>
      <c r="P260" s="2"/>
      <c r="Q260" s="2"/>
      <c r="R260" s="2"/>
    </row>
    <row r="261" spans="1:18" ht="15">
      <c r="A261" s="2"/>
      <c r="B261" s="2"/>
      <c r="C261" s="75"/>
      <c r="D261" s="75"/>
      <c r="E261" s="75"/>
      <c r="F261" s="75"/>
      <c r="G261" s="75"/>
      <c r="H261" s="75"/>
      <c r="I261" s="75"/>
      <c r="J261" s="75"/>
      <c r="K261" s="196"/>
      <c r="L261" s="196"/>
      <c r="M261" s="76"/>
      <c r="N261" s="2"/>
      <c r="O261" s="2"/>
      <c r="P261" s="2"/>
      <c r="Q261" s="2"/>
      <c r="R261" s="2"/>
    </row>
    <row r="262" spans="1:18" ht="15">
      <c r="A262" s="2"/>
      <c r="B262" s="2"/>
      <c r="C262" s="75"/>
      <c r="D262" s="75"/>
      <c r="E262" s="75"/>
      <c r="F262" s="75"/>
      <c r="G262" s="75"/>
      <c r="H262" s="75"/>
      <c r="I262" s="75"/>
      <c r="J262" s="75"/>
      <c r="K262" s="196"/>
      <c r="L262" s="196"/>
      <c r="M262" s="76"/>
      <c r="N262" s="2"/>
      <c r="O262" s="2"/>
      <c r="P262" s="2"/>
      <c r="Q262" s="2"/>
      <c r="R262" s="2"/>
    </row>
    <row r="263" spans="1:18" ht="15">
      <c r="A263" s="2"/>
      <c r="B263" s="2"/>
      <c r="C263" s="75"/>
      <c r="D263" s="75"/>
      <c r="E263" s="75"/>
      <c r="F263" s="75"/>
      <c r="G263" s="75"/>
      <c r="H263" s="75"/>
      <c r="I263" s="75"/>
      <c r="J263" s="75"/>
      <c r="K263" s="196"/>
      <c r="L263" s="196"/>
      <c r="M263" s="76"/>
      <c r="N263" s="2"/>
      <c r="O263" s="2"/>
      <c r="P263" s="2"/>
      <c r="Q263" s="2"/>
      <c r="R263" s="2"/>
    </row>
    <row r="264" spans="1:18" ht="15">
      <c r="A264" s="2"/>
      <c r="B264" s="2"/>
      <c r="C264" s="75"/>
      <c r="D264" s="75"/>
      <c r="E264" s="75"/>
      <c r="F264" s="75"/>
      <c r="G264" s="75"/>
      <c r="H264" s="75"/>
      <c r="I264" s="75"/>
      <c r="J264" s="75"/>
      <c r="K264" s="196"/>
      <c r="L264" s="196"/>
      <c r="M264" s="76"/>
      <c r="N264" s="2"/>
      <c r="O264" s="2"/>
      <c r="P264" s="2"/>
      <c r="Q264" s="2"/>
      <c r="R264" s="2"/>
    </row>
    <row r="265" spans="1:18" ht="15">
      <c r="A265" s="2"/>
      <c r="B265" s="2"/>
      <c r="C265" s="75"/>
      <c r="D265" s="75"/>
      <c r="E265" s="75"/>
      <c r="F265" s="75"/>
      <c r="G265" s="75"/>
      <c r="H265" s="75"/>
      <c r="I265" s="75"/>
      <c r="J265" s="75"/>
      <c r="K265" s="196"/>
      <c r="L265" s="196"/>
      <c r="M265" s="76"/>
      <c r="N265" s="2"/>
      <c r="O265" s="2"/>
      <c r="P265" s="2"/>
      <c r="Q265" s="2"/>
      <c r="R265" s="2"/>
    </row>
    <row r="266" spans="1:18" ht="15">
      <c r="A266" s="2"/>
      <c r="B266" s="2"/>
      <c r="C266" s="75"/>
      <c r="D266" s="75"/>
      <c r="E266" s="75"/>
      <c r="F266" s="75"/>
      <c r="G266" s="75"/>
      <c r="H266" s="75"/>
      <c r="I266" s="75"/>
      <c r="J266" s="75"/>
      <c r="K266" s="196"/>
      <c r="L266" s="196"/>
      <c r="M266" s="76"/>
      <c r="N266" s="2"/>
      <c r="O266" s="2"/>
      <c r="P266" s="2"/>
      <c r="Q266" s="2"/>
      <c r="R266" s="2"/>
    </row>
    <row r="267" spans="1:18" ht="15">
      <c r="A267" s="2"/>
      <c r="B267" s="2"/>
      <c r="C267" s="75"/>
      <c r="D267" s="75"/>
      <c r="E267" s="75"/>
      <c r="F267" s="75"/>
      <c r="G267" s="75"/>
      <c r="H267" s="75"/>
      <c r="I267" s="75"/>
      <c r="J267" s="75"/>
      <c r="K267" s="196"/>
      <c r="L267" s="196"/>
      <c r="M267" s="76"/>
      <c r="N267" s="2"/>
      <c r="O267" s="2"/>
      <c r="P267" s="2"/>
      <c r="Q267" s="2"/>
      <c r="R267" s="2"/>
    </row>
    <row r="268" spans="1:18" ht="15">
      <c r="A268" s="2"/>
      <c r="B268" s="2"/>
      <c r="C268" s="75"/>
      <c r="D268" s="75"/>
      <c r="E268" s="75"/>
      <c r="F268" s="75"/>
      <c r="G268" s="75"/>
      <c r="H268" s="75"/>
      <c r="I268" s="75"/>
      <c r="J268" s="75"/>
      <c r="K268" s="196"/>
      <c r="L268" s="196"/>
      <c r="M268" s="76"/>
      <c r="N268" s="2"/>
      <c r="O268" s="2"/>
      <c r="P268" s="2"/>
      <c r="Q268" s="2"/>
      <c r="R268" s="2"/>
    </row>
    <row r="269" spans="1:18" ht="15">
      <c r="A269" s="2"/>
      <c r="B269" s="2"/>
      <c r="C269" s="75"/>
      <c r="D269" s="75"/>
      <c r="E269" s="75"/>
      <c r="F269" s="75"/>
      <c r="G269" s="75"/>
      <c r="H269" s="75"/>
      <c r="I269" s="75"/>
      <c r="J269" s="75"/>
      <c r="K269" s="196"/>
      <c r="L269" s="196"/>
      <c r="M269" s="76"/>
      <c r="N269" s="2"/>
      <c r="O269" s="2"/>
      <c r="P269" s="2"/>
      <c r="Q269" s="2"/>
      <c r="R269" s="2"/>
    </row>
    <row r="270" spans="1:18" ht="15">
      <c r="A270" s="2"/>
      <c r="B270" s="2"/>
      <c r="C270" s="75"/>
      <c r="D270" s="75"/>
      <c r="E270" s="75"/>
      <c r="F270" s="75"/>
      <c r="G270" s="75"/>
      <c r="H270" s="75"/>
      <c r="I270" s="75"/>
      <c r="J270" s="75"/>
      <c r="K270" s="196"/>
      <c r="L270" s="196"/>
      <c r="M270" s="76"/>
      <c r="N270" s="2"/>
      <c r="O270" s="2"/>
      <c r="P270" s="2"/>
      <c r="Q270" s="2"/>
      <c r="R270" s="2"/>
    </row>
    <row r="271" spans="1:18" ht="15">
      <c r="A271" s="2"/>
      <c r="B271" s="2"/>
      <c r="C271" s="75"/>
      <c r="D271" s="75"/>
      <c r="E271" s="75"/>
      <c r="F271" s="75"/>
      <c r="G271" s="75"/>
      <c r="H271" s="75"/>
      <c r="I271" s="75"/>
      <c r="J271" s="75"/>
      <c r="K271" s="196"/>
      <c r="L271" s="196"/>
      <c r="M271" s="76"/>
      <c r="N271" s="2"/>
      <c r="O271" s="2"/>
      <c r="P271" s="2"/>
      <c r="Q271" s="2"/>
      <c r="R271" s="2"/>
    </row>
    <row r="272" spans="1:18" ht="15">
      <c r="A272" s="2"/>
      <c r="B272" s="2"/>
      <c r="C272" s="75"/>
      <c r="D272" s="75"/>
      <c r="E272" s="75"/>
      <c r="F272" s="75"/>
      <c r="G272" s="75"/>
      <c r="H272" s="75"/>
      <c r="I272" s="75"/>
      <c r="J272" s="75"/>
      <c r="K272" s="196"/>
      <c r="L272" s="196"/>
      <c r="M272" s="76"/>
      <c r="N272" s="2"/>
      <c r="O272" s="2"/>
      <c r="P272" s="2"/>
      <c r="Q272" s="2"/>
      <c r="R272" s="2"/>
    </row>
    <row r="273" spans="1:18" ht="15">
      <c r="A273" s="2"/>
      <c r="B273" s="2"/>
      <c r="C273" s="75"/>
      <c r="D273" s="75"/>
      <c r="E273" s="75"/>
      <c r="F273" s="75"/>
      <c r="G273" s="75"/>
      <c r="H273" s="75"/>
      <c r="I273" s="75"/>
      <c r="J273" s="75"/>
      <c r="K273" s="196"/>
      <c r="L273" s="196"/>
      <c r="M273" s="76"/>
      <c r="N273" s="2"/>
      <c r="O273" s="2"/>
      <c r="P273" s="2"/>
      <c r="Q273" s="2"/>
      <c r="R273" s="2"/>
    </row>
    <row r="274" spans="1:18" ht="15">
      <c r="A274" s="2"/>
      <c r="B274" s="2"/>
      <c r="C274" s="75"/>
      <c r="D274" s="75"/>
      <c r="E274" s="75"/>
      <c r="F274" s="75"/>
      <c r="G274" s="75"/>
      <c r="H274" s="75"/>
      <c r="I274" s="75"/>
      <c r="J274" s="75"/>
      <c r="K274" s="196"/>
      <c r="L274" s="196"/>
      <c r="M274" s="76"/>
      <c r="N274" s="2"/>
      <c r="O274" s="2"/>
      <c r="P274" s="2"/>
      <c r="Q274" s="2"/>
      <c r="R274" s="2"/>
    </row>
    <row r="275" spans="1:18" ht="15">
      <c r="A275" s="2"/>
      <c r="B275" s="2"/>
      <c r="C275" s="75"/>
      <c r="D275" s="75"/>
      <c r="E275" s="75"/>
      <c r="F275" s="75"/>
      <c r="G275" s="75"/>
      <c r="H275" s="75"/>
      <c r="I275" s="75"/>
      <c r="J275" s="75"/>
      <c r="K275" s="196"/>
      <c r="L275" s="196"/>
      <c r="M275" s="76"/>
      <c r="N275" s="2"/>
      <c r="O275" s="2"/>
      <c r="P275" s="2"/>
      <c r="Q275" s="2"/>
      <c r="R275" s="2"/>
    </row>
    <row r="276" spans="1:18" ht="15">
      <c r="A276" s="2"/>
      <c r="B276" s="2"/>
      <c r="C276" s="75"/>
      <c r="D276" s="75"/>
      <c r="E276" s="75"/>
      <c r="F276" s="75"/>
      <c r="G276" s="75"/>
      <c r="H276" s="75"/>
      <c r="I276" s="75"/>
      <c r="J276" s="75"/>
      <c r="K276" s="196"/>
      <c r="L276" s="196"/>
      <c r="M276" s="76"/>
      <c r="N276" s="2"/>
      <c r="O276" s="2"/>
      <c r="P276" s="2"/>
      <c r="Q276" s="2"/>
      <c r="R276" s="2"/>
    </row>
    <row r="277" spans="1:18" ht="15">
      <c r="A277" s="2"/>
      <c r="B277" s="2"/>
      <c r="C277" s="75"/>
      <c r="D277" s="75"/>
      <c r="E277" s="75"/>
      <c r="F277" s="75"/>
      <c r="G277" s="75"/>
      <c r="H277" s="75"/>
      <c r="I277" s="75"/>
      <c r="J277" s="75"/>
      <c r="K277" s="196"/>
      <c r="L277" s="196"/>
      <c r="M277" s="76"/>
      <c r="N277" s="2"/>
      <c r="O277" s="2"/>
      <c r="P277" s="2"/>
      <c r="Q277" s="2"/>
      <c r="R277" s="2"/>
    </row>
    <row r="278" spans="1:18" ht="15">
      <c r="A278" s="2"/>
      <c r="B278" s="2"/>
      <c r="C278" s="75"/>
      <c r="D278" s="75"/>
      <c r="E278" s="75"/>
      <c r="F278" s="75"/>
      <c r="G278" s="75"/>
      <c r="H278" s="75"/>
      <c r="I278" s="75"/>
      <c r="J278" s="75"/>
      <c r="K278" s="196"/>
      <c r="L278" s="196"/>
      <c r="M278" s="76"/>
      <c r="N278" s="2"/>
      <c r="O278" s="2"/>
      <c r="P278" s="2"/>
      <c r="Q278" s="2"/>
      <c r="R278" s="2"/>
    </row>
    <row r="279" spans="1:18" ht="15">
      <c r="A279" s="2"/>
      <c r="B279" s="2"/>
      <c r="C279" s="75"/>
      <c r="D279" s="75"/>
      <c r="E279" s="75"/>
      <c r="F279" s="75"/>
      <c r="G279" s="75"/>
      <c r="H279" s="75"/>
      <c r="I279" s="75"/>
      <c r="J279" s="75"/>
      <c r="K279" s="196"/>
      <c r="L279" s="196"/>
      <c r="M279" s="76"/>
      <c r="N279" s="2"/>
      <c r="O279" s="2"/>
      <c r="P279" s="2"/>
      <c r="Q279" s="2"/>
      <c r="R279" s="2"/>
    </row>
    <row r="280" spans="1:18" ht="15">
      <c r="A280" s="2"/>
      <c r="B280" s="2"/>
      <c r="C280" s="75"/>
      <c r="D280" s="75"/>
      <c r="E280" s="75"/>
      <c r="F280" s="75"/>
      <c r="G280" s="75"/>
      <c r="H280" s="75"/>
      <c r="I280" s="75"/>
      <c r="J280" s="75"/>
      <c r="K280" s="196"/>
      <c r="L280" s="196"/>
      <c r="M280" s="76"/>
      <c r="N280" s="2"/>
      <c r="O280" s="2"/>
      <c r="P280" s="2"/>
      <c r="Q280" s="2"/>
      <c r="R280" s="2"/>
    </row>
    <row r="281" spans="1:18" ht="15">
      <c r="A281" s="2"/>
      <c r="B281" s="2"/>
      <c r="C281" s="75"/>
      <c r="D281" s="75"/>
      <c r="E281" s="75"/>
      <c r="F281" s="75"/>
      <c r="G281" s="75"/>
      <c r="H281" s="75"/>
      <c r="I281" s="75"/>
      <c r="J281" s="75"/>
      <c r="K281" s="196"/>
      <c r="L281" s="196"/>
      <c r="M281" s="76"/>
      <c r="N281" s="2"/>
      <c r="O281" s="2"/>
      <c r="P281" s="2"/>
      <c r="Q281" s="2"/>
      <c r="R281" s="2"/>
    </row>
    <row r="282" spans="1:18" ht="15">
      <c r="A282" s="2"/>
      <c r="B282" s="2"/>
      <c r="C282" s="75"/>
      <c r="D282" s="75"/>
      <c r="E282" s="75"/>
      <c r="F282" s="75"/>
      <c r="G282" s="75"/>
      <c r="H282" s="75"/>
      <c r="I282" s="75"/>
      <c r="J282" s="75"/>
      <c r="K282" s="196"/>
      <c r="L282" s="196"/>
      <c r="M282" s="76"/>
      <c r="N282" s="2"/>
      <c r="O282" s="2"/>
      <c r="P282" s="2"/>
      <c r="Q282" s="2"/>
      <c r="R282" s="2"/>
    </row>
    <row r="283" spans="1:18" ht="15">
      <c r="A283" s="2"/>
      <c r="B283" s="2"/>
      <c r="C283" s="75"/>
      <c r="D283" s="75"/>
      <c r="E283" s="75"/>
      <c r="F283" s="75"/>
      <c r="G283" s="75"/>
      <c r="H283" s="75"/>
      <c r="I283" s="75"/>
      <c r="J283" s="75"/>
      <c r="K283" s="196"/>
      <c r="L283" s="196"/>
      <c r="M283" s="76"/>
      <c r="N283" s="2"/>
      <c r="O283" s="2"/>
      <c r="P283" s="2"/>
      <c r="Q283" s="2"/>
      <c r="R283" s="2"/>
    </row>
    <row r="284" spans="1:18" ht="15">
      <c r="A284" s="2"/>
      <c r="B284" s="2"/>
      <c r="C284" s="75"/>
      <c r="D284" s="75"/>
      <c r="E284" s="75"/>
      <c r="F284" s="75"/>
      <c r="G284" s="75"/>
      <c r="H284" s="75"/>
      <c r="I284" s="75"/>
      <c r="J284" s="75"/>
      <c r="K284" s="196"/>
      <c r="L284" s="196"/>
      <c r="M284" s="76"/>
      <c r="N284" s="2"/>
      <c r="O284" s="2"/>
      <c r="P284" s="2"/>
      <c r="Q284" s="2"/>
      <c r="R284" s="2"/>
    </row>
    <row r="285" spans="1:18" ht="15">
      <c r="A285" s="2"/>
      <c r="B285" s="2"/>
      <c r="C285" s="75"/>
      <c r="D285" s="75"/>
      <c r="E285" s="75"/>
      <c r="F285" s="75"/>
      <c r="G285" s="75"/>
      <c r="H285" s="75"/>
      <c r="I285" s="75"/>
      <c r="J285" s="75"/>
      <c r="K285" s="196"/>
      <c r="L285" s="196"/>
      <c r="M285" s="76"/>
      <c r="N285" s="2"/>
      <c r="O285" s="2"/>
      <c r="P285" s="2"/>
      <c r="Q285" s="2"/>
      <c r="R285" s="2"/>
    </row>
    <row r="286" spans="1:18" ht="15">
      <c r="A286" s="2"/>
      <c r="B286" s="2"/>
      <c r="C286" s="75"/>
      <c r="D286" s="75"/>
      <c r="E286" s="75"/>
      <c r="F286" s="75"/>
      <c r="G286" s="75"/>
      <c r="H286" s="75"/>
      <c r="I286" s="75"/>
      <c r="J286" s="75"/>
      <c r="K286" s="196"/>
      <c r="L286" s="196"/>
      <c r="M286" s="76"/>
      <c r="N286" s="2"/>
      <c r="O286" s="2"/>
      <c r="P286" s="2"/>
      <c r="Q286" s="2"/>
      <c r="R286" s="2"/>
    </row>
    <row r="287" spans="1:18" ht="15">
      <c r="A287" s="2"/>
      <c r="B287" s="2"/>
      <c r="C287" s="75"/>
      <c r="D287" s="75"/>
      <c r="E287" s="75"/>
      <c r="F287" s="75"/>
      <c r="G287" s="75"/>
      <c r="H287" s="75"/>
      <c r="I287" s="75"/>
      <c r="J287" s="75"/>
      <c r="K287" s="196"/>
      <c r="L287" s="196"/>
      <c r="M287" s="76"/>
      <c r="N287" s="2"/>
      <c r="O287" s="2"/>
      <c r="P287" s="2"/>
      <c r="Q287" s="2"/>
      <c r="R287" s="2"/>
    </row>
    <row r="288" spans="1:18" ht="15">
      <c r="A288" s="2"/>
      <c r="B288" s="2"/>
      <c r="C288" s="75"/>
      <c r="D288" s="75"/>
      <c r="E288" s="75"/>
      <c r="F288" s="75"/>
      <c r="G288" s="75"/>
      <c r="H288" s="75"/>
      <c r="I288" s="75"/>
      <c r="J288" s="75"/>
      <c r="K288" s="196"/>
      <c r="L288" s="196"/>
      <c r="M288" s="76"/>
      <c r="N288" s="2"/>
      <c r="O288" s="2"/>
      <c r="P288" s="2"/>
      <c r="Q288" s="2"/>
      <c r="R288" s="2"/>
    </row>
    <row r="289" spans="1:18" ht="15">
      <c r="A289" s="2"/>
      <c r="B289" s="2"/>
      <c r="C289" s="75"/>
      <c r="D289" s="75"/>
      <c r="E289" s="75"/>
      <c r="F289" s="75"/>
      <c r="G289" s="75"/>
      <c r="H289" s="75"/>
      <c r="I289" s="75"/>
      <c r="J289" s="75"/>
      <c r="K289" s="196"/>
      <c r="L289" s="196"/>
      <c r="M289" s="76"/>
      <c r="N289" s="2"/>
      <c r="O289" s="2"/>
      <c r="P289" s="2"/>
      <c r="Q289" s="2"/>
      <c r="R289" s="2"/>
    </row>
    <row r="290" spans="1:18" ht="15">
      <c r="A290" s="2"/>
      <c r="B290" s="2"/>
      <c r="C290" s="75"/>
      <c r="D290" s="75"/>
      <c r="E290" s="75"/>
      <c r="F290" s="75"/>
      <c r="G290" s="75"/>
      <c r="H290" s="75"/>
      <c r="I290" s="75"/>
      <c r="J290" s="75"/>
      <c r="K290" s="196"/>
      <c r="L290" s="196"/>
      <c r="M290" s="76"/>
      <c r="N290" s="2"/>
      <c r="O290" s="2"/>
      <c r="P290" s="2"/>
      <c r="Q290" s="2"/>
      <c r="R290" s="2"/>
    </row>
    <row r="291" spans="1:18" ht="15">
      <c r="A291" s="2"/>
      <c r="B291" s="2"/>
      <c r="C291" s="75"/>
      <c r="D291" s="75"/>
      <c r="E291" s="75"/>
      <c r="F291" s="75"/>
      <c r="G291" s="75"/>
      <c r="H291" s="75"/>
      <c r="I291" s="75"/>
      <c r="J291" s="75"/>
      <c r="K291" s="196"/>
      <c r="L291" s="196"/>
      <c r="M291" s="76"/>
      <c r="N291" s="2"/>
      <c r="O291" s="2"/>
      <c r="P291" s="2"/>
      <c r="Q291" s="2"/>
      <c r="R291" s="2"/>
    </row>
    <row r="292" spans="1:18" ht="15">
      <c r="A292" s="2"/>
      <c r="B292" s="2"/>
      <c r="C292" s="75"/>
      <c r="D292" s="75"/>
      <c r="E292" s="75"/>
      <c r="F292" s="75"/>
      <c r="G292" s="75"/>
      <c r="H292" s="75"/>
      <c r="I292" s="75"/>
      <c r="J292" s="75"/>
      <c r="K292" s="196"/>
      <c r="L292" s="196"/>
      <c r="M292" s="76"/>
      <c r="N292" s="2"/>
      <c r="O292" s="2"/>
      <c r="P292" s="2"/>
      <c r="Q292" s="2"/>
      <c r="R292" s="2"/>
    </row>
    <row r="293" spans="1:18" ht="15">
      <c r="A293" s="2"/>
      <c r="B293" s="2"/>
      <c r="C293" s="75"/>
      <c r="D293" s="75"/>
      <c r="E293" s="75"/>
      <c r="F293" s="75"/>
      <c r="G293" s="75"/>
      <c r="H293" s="75"/>
      <c r="I293" s="75"/>
      <c r="J293" s="75"/>
      <c r="K293" s="196"/>
      <c r="L293" s="196"/>
      <c r="M293" s="76"/>
      <c r="N293" s="2"/>
      <c r="O293" s="2"/>
      <c r="P293" s="2"/>
      <c r="Q293" s="2"/>
      <c r="R293" s="2"/>
    </row>
    <row r="294" spans="1:18" ht="15">
      <c r="A294" s="2"/>
      <c r="B294" s="2"/>
      <c r="C294" s="75"/>
      <c r="D294" s="75"/>
      <c r="E294" s="75"/>
      <c r="F294" s="75"/>
      <c r="G294" s="75"/>
      <c r="H294" s="75"/>
      <c r="I294" s="75"/>
      <c r="J294" s="75"/>
      <c r="K294" s="196"/>
      <c r="L294" s="196"/>
      <c r="M294" s="76"/>
      <c r="N294" s="2"/>
      <c r="O294" s="2"/>
      <c r="P294" s="2"/>
      <c r="Q294" s="2"/>
      <c r="R294" s="2"/>
    </row>
    <row r="295" spans="1:18" ht="15">
      <c r="A295" s="2"/>
      <c r="B295" s="2"/>
      <c r="C295" s="75"/>
      <c r="D295" s="75"/>
      <c r="E295" s="75"/>
      <c r="F295" s="75"/>
      <c r="G295" s="75"/>
      <c r="H295" s="75"/>
      <c r="I295" s="75"/>
      <c r="J295" s="75"/>
      <c r="K295" s="196"/>
      <c r="L295" s="196"/>
      <c r="M295" s="76"/>
      <c r="N295" s="2"/>
      <c r="O295" s="2"/>
      <c r="P295" s="2"/>
      <c r="Q295" s="2"/>
      <c r="R295" s="2"/>
    </row>
    <row r="296" spans="1:18" ht="15">
      <c r="A296" s="2"/>
      <c r="B296" s="2"/>
      <c r="C296" s="75"/>
      <c r="D296" s="75"/>
      <c r="E296" s="75"/>
      <c r="F296" s="75"/>
      <c r="G296" s="75"/>
      <c r="H296" s="75"/>
      <c r="I296" s="75"/>
      <c r="J296" s="75"/>
      <c r="K296" s="196"/>
      <c r="L296" s="196"/>
      <c r="M296" s="76"/>
      <c r="N296" s="2"/>
      <c r="O296" s="2"/>
      <c r="P296" s="2"/>
      <c r="Q296" s="2"/>
      <c r="R296" s="2"/>
    </row>
    <row r="297" spans="1:18" ht="15">
      <c r="A297" s="2"/>
      <c r="B297" s="2"/>
      <c r="C297" s="75"/>
      <c r="D297" s="75"/>
      <c r="E297" s="75"/>
      <c r="F297" s="75"/>
      <c r="G297" s="75"/>
      <c r="H297" s="75"/>
      <c r="I297" s="75"/>
      <c r="J297" s="75"/>
      <c r="K297" s="196"/>
      <c r="L297" s="196"/>
      <c r="M297" s="76"/>
      <c r="N297" s="2"/>
      <c r="O297" s="2"/>
      <c r="P297" s="2"/>
      <c r="Q297" s="2"/>
      <c r="R297" s="2"/>
    </row>
    <row r="298" spans="1:18" ht="15">
      <c r="A298" s="2"/>
      <c r="B298" s="2"/>
      <c r="C298" s="75"/>
      <c r="D298" s="75"/>
      <c r="E298" s="75"/>
      <c r="F298" s="75"/>
      <c r="G298" s="75"/>
      <c r="H298" s="75"/>
      <c r="I298" s="75"/>
      <c r="J298" s="75"/>
      <c r="K298" s="196"/>
      <c r="L298" s="196"/>
      <c r="M298" s="76"/>
      <c r="N298" s="2"/>
      <c r="O298" s="2"/>
      <c r="P298" s="2"/>
      <c r="Q298" s="2"/>
      <c r="R298" s="2"/>
    </row>
    <row r="299" spans="1:18" ht="15">
      <c r="A299" s="2"/>
      <c r="B299" s="2"/>
      <c r="C299" s="75"/>
      <c r="D299" s="75"/>
      <c r="E299" s="75"/>
      <c r="F299" s="75"/>
      <c r="G299" s="75"/>
      <c r="H299" s="75"/>
      <c r="I299" s="75"/>
      <c r="J299" s="75"/>
      <c r="K299" s="196"/>
      <c r="L299" s="196"/>
      <c r="M299" s="76"/>
      <c r="N299" s="2"/>
      <c r="O299" s="2"/>
      <c r="P299" s="2"/>
      <c r="Q299" s="2"/>
      <c r="R299" s="2"/>
    </row>
    <row r="300" spans="1:18" ht="15">
      <c r="A300" s="2"/>
      <c r="B300" s="2"/>
      <c r="C300" s="75"/>
      <c r="D300" s="75"/>
      <c r="E300" s="75"/>
      <c r="F300" s="75"/>
      <c r="G300" s="75"/>
      <c r="H300" s="75"/>
      <c r="I300" s="75"/>
      <c r="J300" s="75"/>
      <c r="K300" s="196"/>
      <c r="L300" s="196"/>
      <c r="M300" s="76"/>
      <c r="N300" s="2"/>
      <c r="O300" s="2"/>
      <c r="P300" s="2"/>
      <c r="Q300" s="2"/>
      <c r="R300" s="2"/>
    </row>
    <row r="301" spans="1:18" ht="15">
      <c r="A301" s="2"/>
      <c r="B301" s="2"/>
      <c r="C301" s="75"/>
      <c r="D301" s="75"/>
      <c r="E301" s="75"/>
      <c r="F301" s="75"/>
      <c r="G301" s="75"/>
      <c r="H301" s="75"/>
      <c r="I301" s="75"/>
      <c r="J301" s="75"/>
      <c r="K301" s="196"/>
      <c r="L301" s="196"/>
      <c r="M301" s="76"/>
      <c r="N301" s="2"/>
      <c r="O301" s="2"/>
      <c r="P301" s="2"/>
      <c r="Q301" s="2"/>
      <c r="R301" s="2"/>
    </row>
    <row r="302" spans="1:18" ht="15">
      <c r="A302" s="2"/>
      <c r="B302" s="2"/>
      <c r="C302" s="75"/>
      <c r="D302" s="75"/>
      <c r="E302" s="75"/>
      <c r="F302" s="75"/>
      <c r="G302" s="75"/>
      <c r="H302" s="75"/>
      <c r="I302" s="75"/>
      <c r="J302" s="75"/>
      <c r="K302" s="196"/>
      <c r="L302" s="196"/>
      <c r="M302" s="76"/>
      <c r="N302" s="2"/>
      <c r="O302" s="2"/>
      <c r="P302" s="2"/>
      <c r="Q302" s="2"/>
      <c r="R302" s="2"/>
    </row>
    <row r="303" spans="1:18" ht="15">
      <c r="A303" s="2"/>
      <c r="B303" s="2"/>
      <c r="C303" s="75"/>
      <c r="D303" s="75"/>
      <c r="E303" s="75"/>
      <c r="F303" s="75"/>
      <c r="G303" s="75"/>
      <c r="H303" s="75"/>
      <c r="I303" s="75"/>
      <c r="J303" s="75"/>
      <c r="K303" s="196"/>
      <c r="L303" s="196"/>
      <c r="M303" s="76"/>
      <c r="N303" s="2"/>
      <c r="O303" s="2"/>
      <c r="P303" s="2"/>
      <c r="Q303" s="2"/>
      <c r="R303" s="2"/>
    </row>
    <row r="304" spans="1:18" ht="15">
      <c r="A304" s="2"/>
      <c r="B304" s="2"/>
      <c r="C304" s="75"/>
      <c r="D304" s="75"/>
      <c r="E304" s="75"/>
      <c r="F304" s="75"/>
      <c r="G304" s="75"/>
      <c r="H304" s="75"/>
      <c r="I304" s="75"/>
      <c r="J304" s="75"/>
      <c r="K304" s="196"/>
      <c r="L304" s="196"/>
      <c r="M304" s="76"/>
      <c r="N304" s="2"/>
      <c r="O304" s="2"/>
      <c r="P304" s="2"/>
      <c r="Q304" s="2"/>
      <c r="R304" s="2"/>
    </row>
    <row r="305" spans="1:18" ht="15">
      <c r="A305" s="2"/>
      <c r="B305" s="2"/>
      <c r="C305" s="75"/>
      <c r="D305" s="75"/>
      <c r="E305" s="75"/>
      <c r="F305" s="75"/>
      <c r="G305" s="75"/>
      <c r="H305" s="75"/>
      <c r="I305" s="75"/>
      <c r="J305" s="75"/>
      <c r="K305" s="196"/>
      <c r="L305" s="196"/>
      <c r="M305" s="76"/>
      <c r="N305" s="2"/>
      <c r="O305" s="2"/>
      <c r="P305" s="2"/>
      <c r="Q305" s="2"/>
      <c r="R305" s="2"/>
    </row>
    <row r="306" spans="1:18" ht="15">
      <c r="A306" s="2"/>
      <c r="B306" s="2"/>
      <c r="C306" s="75"/>
      <c r="D306" s="75"/>
      <c r="E306" s="75"/>
      <c r="F306" s="75"/>
      <c r="G306" s="75"/>
      <c r="H306" s="75"/>
      <c r="I306" s="75"/>
      <c r="J306" s="75"/>
      <c r="K306" s="196"/>
      <c r="L306" s="196"/>
      <c r="M306" s="76"/>
      <c r="N306" s="2"/>
      <c r="O306" s="2"/>
      <c r="P306" s="2"/>
      <c r="Q306" s="2"/>
      <c r="R306" s="2"/>
    </row>
    <row r="307" spans="1:18" ht="15">
      <c r="A307" s="2"/>
      <c r="B307" s="2"/>
      <c r="C307" s="75"/>
      <c r="D307" s="75"/>
      <c r="E307" s="75"/>
      <c r="F307" s="75"/>
      <c r="G307" s="75"/>
      <c r="H307" s="75"/>
      <c r="I307" s="75"/>
      <c r="J307" s="75"/>
      <c r="K307" s="196"/>
      <c r="L307" s="196"/>
      <c r="M307" s="76"/>
      <c r="N307" s="2"/>
      <c r="O307" s="2"/>
      <c r="P307" s="2"/>
      <c r="Q307" s="2"/>
      <c r="R307" s="2"/>
    </row>
    <row r="308" spans="1:18" ht="15">
      <c r="A308" s="2"/>
      <c r="B308" s="2"/>
      <c r="C308" s="75"/>
      <c r="D308" s="75"/>
      <c r="E308" s="75"/>
      <c r="F308" s="75"/>
      <c r="G308" s="75"/>
      <c r="H308" s="75"/>
      <c r="I308" s="75"/>
      <c r="J308" s="75"/>
      <c r="K308" s="196"/>
      <c r="L308" s="196"/>
      <c r="M308" s="76"/>
      <c r="N308" s="2"/>
      <c r="O308" s="2"/>
      <c r="P308" s="2"/>
      <c r="Q308" s="2"/>
      <c r="R308" s="2"/>
    </row>
    <row r="309" spans="1:18" ht="15">
      <c r="A309" s="2"/>
      <c r="B309" s="2"/>
      <c r="C309" s="75"/>
      <c r="D309" s="75"/>
      <c r="E309" s="75"/>
      <c r="F309" s="75"/>
      <c r="G309" s="75"/>
      <c r="H309" s="75"/>
      <c r="I309" s="75"/>
      <c r="J309" s="75"/>
      <c r="K309" s="196"/>
      <c r="L309" s="196"/>
      <c r="M309" s="76"/>
      <c r="N309" s="2"/>
      <c r="O309" s="2"/>
      <c r="P309" s="2"/>
      <c r="Q309" s="2"/>
      <c r="R309" s="2"/>
    </row>
    <row r="310" spans="1:18" ht="15">
      <c r="A310" s="2"/>
      <c r="B310" s="2"/>
      <c r="C310" s="75"/>
      <c r="D310" s="75"/>
      <c r="E310" s="75"/>
      <c r="F310" s="75"/>
      <c r="G310" s="75"/>
      <c r="H310" s="75"/>
      <c r="I310" s="75"/>
      <c r="J310" s="75"/>
      <c r="K310" s="196"/>
      <c r="L310" s="196"/>
      <c r="M310" s="76"/>
      <c r="N310" s="2"/>
      <c r="O310" s="2"/>
      <c r="P310" s="2"/>
      <c r="Q310" s="2"/>
      <c r="R310" s="2"/>
    </row>
    <row r="311" spans="1:18" ht="15">
      <c r="A311" s="2"/>
      <c r="B311" s="2"/>
      <c r="C311" s="75"/>
      <c r="D311" s="75"/>
      <c r="E311" s="75"/>
      <c r="F311" s="75"/>
      <c r="G311" s="75"/>
      <c r="H311" s="75"/>
      <c r="I311" s="75"/>
      <c r="J311" s="75"/>
      <c r="K311" s="196"/>
      <c r="L311" s="196"/>
      <c r="M311" s="76"/>
      <c r="N311" s="2"/>
      <c r="O311" s="2"/>
      <c r="P311" s="2"/>
      <c r="Q311" s="2"/>
      <c r="R311" s="2"/>
    </row>
    <row r="312" spans="1:18" ht="15">
      <c r="A312" s="2"/>
      <c r="B312" s="2"/>
      <c r="C312" s="75"/>
      <c r="D312" s="75"/>
      <c r="E312" s="75"/>
      <c r="F312" s="75"/>
      <c r="G312" s="75"/>
      <c r="H312" s="75"/>
      <c r="I312" s="75"/>
      <c r="J312" s="75"/>
      <c r="K312" s="196"/>
      <c r="L312" s="196"/>
      <c r="M312" s="76"/>
      <c r="N312" s="2"/>
      <c r="O312" s="2"/>
      <c r="P312" s="2"/>
      <c r="Q312" s="2"/>
      <c r="R312" s="2"/>
    </row>
    <row r="313" spans="1:18" ht="15">
      <c r="A313" s="2"/>
      <c r="B313" s="2"/>
      <c r="C313" s="75"/>
      <c r="D313" s="75"/>
      <c r="E313" s="75"/>
      <c r="F313" s="75"/>
      <c r="G313" s="75"/>
      <c r="H313" s="75"/>
      <c r="I313" s="75"/>
      <c r="J313" s="75"/>
      <c r="K313" s="196"/>
      <c r="L313" s="196"/>
      <c r="M313" s="76"/>
      <c r="N313" s="2"/>
      <c r="O313" s="2"/>
      <c r="P313" s="2"/>
      <c r="Q313" s="2"/>
      <c r="R313" s="2"/>
    </row>
    <row r="314" spans="1:18" ht="15">
      <c r="A314" s="2"/>
      <c r="B314" s="2"/>
      <c r="C314" s="75"/>
      <c r="D314" s="75"/>
      <c r="E314" s="75"/>
      <c r="F314" s="75"/>
      <c r="G314" s="75"/>
      <c r="H314" s="75"/>
      <c r="I314" s="75"/>
      <c r="J314" s="75"/>
      <c r="K314" s="196"/>
      <c r="L314" s="196"/>
      <c r="M314" s="76"/>
      <c r="N314" s="2"/>
      <c r="O314" s="2"/>
      <c r="P314" s="2"/>
      <c r="Q314" s="2"/>
      <c r="R314" s="2"/>
    </row>
    <row r="315" spans="1:18" ht="15">
      <c r="A315" s="2"/>
      <c r="B315" s="2"/>
      <c r="C315" s="75"/>
      <c r="D315" s="75"/>
      <c r="E315" s="75"/>
      <c r="F315" s="75"/>
      <c r="G315" s="75"/>
      <c r="H315" s="75"/>
      <c r="I315" s="75"/>
      <c r="J315" s="75"/>
      <c r="K315" s="196"/>
      <c r="L315" s="196"/>
      <c r="M315" s="76"/>
      <c r="N315" s="2"/>
      <c r="O315" s="2"/>
      <c r="P315" s="2"/>
      <c r="Q315" s="2"/>
      <c r="R315" s="2"/>
    </row>
    <row r="316" spans="1:18" ht="15">
      <c r="A316" s="2"/>
      <c r="B316" s="2"/>
      <c r="C316" s="75"/>
      <c r="D316" s="75"/>
      <c r="E316" s="75"/>
      <c r="F316" s="75"/>
      <c r="G316" s="75"/>
      <c r="H316" s="75"/>
      <c r="I316" s="75"/>
      <c r="J316" s="75"/>
      <c r="K316" s="196"/>
      <c r="L316" s="196"/>
      <c r="M316" s="76"/>
      <c r="N316" s="2"/>
      <c r="O316" s="2"/>
      <c r="P316" s="2"/>
      <c r="Q316" s="2"/>
      <c r="R316" s="2"/>
    </row>
    <row r="317" spans="1:18" ht="15">
      <c r="A317" s="2"/>
      <c r="B317" s="2"/>
      <c r="C317" s="75"/>
      <c r="D317" s="75"/>
      <c r="E317" s="75"/>
      <c r="F317" s="75"/>
      <c r="G317" s="75"/>
      <c r="H317" s="75"/>
      <c r="I317" s="75"/>
      <c r="J317" s="75"/>
      <c r="K317" s="196"/>
      <c r="L317" s="196"/>
      <c r="M317" s="76"/>
      <c r="N317" s="2"/>
      <c r="O317" s="2"/>
      <c r="P317" s="2"/>
      <c r="Q317" s="2"/>
      <c r="R317" s="2"/>
    </row>
    <row r="318" spans="1:18" ht="15">
      <c r="A318" s="2"/>
      <c r="B318" s="2"/>
      <c r="C318" s="75"/>
      <c r="D318" s="75"/>
      <c r="E318" s="75"/>
      <c r="F318" s="75"/>
      <c r="G318" s="75"/>
      <c r="H318" s="75"/>
      <c r="I318" s="75"/>
      <c r="J318" s="75"/>
      <c r="K318" s="196"/>
      <c r="L318" s="196"/>
      <c r="M318" s="76"/>
      <c r="N318" s="2"/>
      <c r="O318" s="2"/>
      <c r="P318" s="2"/>
      <c r="Q318" s="2"/>
      <c r="R318" s="2"/>
    </row>
    <row r="319" spans="1:18" ht="15">
      <c r="A319" s="2"/>
      <c r="B319" s="2"/>
      <c r="C319" s="75"/>
      <c r="D319" s="75"/>
      <c r="E319" s="75"/>
      <c r="F319" s="75"/>
      <c r="G319" s="75"/>
      <c r="H319" s="75"/>
      <c r="I319" s="75"/>
      <c r="J319" s="75"/>
      <c r="K319" s="196"/>
      <c r="L319" s="196"/>
      <c r="M319" s="76"/>
      <c r="N319" s="2"/>
      <c r="O319" s="2"/>
      <c r="P319" s="2"/>
      <c r="Q319" s="2"/>
      <c r="R319" s="2"/>
    </row>
    <row r="320" spans="1:18" ht="15">
      <c r="A320" s="2"/>
      <c r="B320" s="2"/>
      <c r="C320" s="75"/>
      <c r="D320" s="75"/>
      <c r="E320" s="75"/>
      <c r="F320" s="75"/>
      <c r="G320" s="75"/>
      <c r="H320" s="75"/>
      <c r="I320" s="75"/>
      <c r="J320" s="75"/>
      <c r="K320" s="196"/>
      <c r="L320" s="196"/>
      <c r="M320" s="76"/>
      <c r="N320" s="2"/>
      <c r="O320" s="2"/>
      <c r="P320" s="2"/>
      <c r="Q320" s="2"/>
      <c r="R320" s="2"/>
    </row>
    <row r="321" spans="1:18" ht="15">
      <c r="A321" s="2"/>
      <c r="B321" s="2"/>
      <c r="C321" s="75"/>
      <c r="D321" s="75"/>
      <c r="E321" s="75"/>
      <c r="F321" s="75"/>
      <c r="G321" s="75"/>
      <c r="H321" s="75"/>
      <c r="I321" s="75"/>
      <c r="J321" s="75"/>
      <c r="K321" s="196"/>
      <c r="L321" s="196"/>
      <c r="M321" s="76"/>
      <c r="N321" s="2"/>
      <c r="O321" s="2"/>
      <c r="P321" s="2"/>
      <c r="Q321" s="2"/>
      <c r="R321" s="2"/>
    </row>
    <row r="322" spans="1:18" ht="15">
      <c r="A322" s="2"/>
      <c r="B322" s="2"/>
      <c r="C322" s="75"/>
      <c r="D322" s="75"/>
      <c r="E322" s="75"/>
      <c r="F322" s="75"/>
      <c r="G322" s="75"/>
      <c r="H322" s="75"/>
      <c r="I322" s="75"/>
      <c r="J322" s="75"/>
      <c r="K322" s="196"/>
      <c r="L322" s="196"/>
      <c r="M322" s="76"/>
      <c r="N322" s="2"/>
      <c r="O322" s="2"/>
      <c r="P322" s="2"/>
      <c r="Q322" s="2"/>
      <c r="R322" s="2"/>
    </row>
    <row r="323" spans="1:18" ht="15">
      <c r="A323" s="2"/>
      <c r="B323" s="2"/>
      <c r="C323" s="75"/>
      <c r="D323" s="75"/>
      <c r="E323" s="75"/>
      <c r="F323" s="75"/>
      <c r="G323" s="75"/>
      <c r="H323" s="75"/>
      <c r="I323" s="75"/>
      <c r="J323" s="75"/>
      <c r="K323" s="196"/>
      <c r="L323" s="196"/>
      <c r="M323" s="76"/>
      <c r="N323" s="2"/>
      <c r="O323" s="2"/>
      <c r="P323" s="2"/>
      <c r="Q323" s="2"/>
      <c r="R323" s="2"/>
    </row>
    <row r="324" spans="1:18" ht="15">
      <c r="A324" s="2"/>
      <c r="B324" s="2"/>
      <c r="C324" s="75"/>
      <c r="D324" s="75"/>
      <c r="E324" s="75"/>
      <c r="F324" s="75"/>
      <c r="G324" s="75"/>
      <c r="H324" s="75"/>
      <c r="I324" s="75"/>
      <c r="J324" s="75"/>
      <c r="K324" s="196"/>
      <c r="L324" s="196"/>
      <c r="M324" s="76"/>
      <c r="N324" s="2"/>
      <c r="O324" s="2"/>
      <c r="P324" s="2"/>
      <c r="Q324" s="2"/>
      <c r="R324" s="2"/>
    </row>
    <row r="325" spans="1:18" ht="15">
      <c r="A325" s="2"/>
      <c r="B325" s="2"/>
      <c r="C325" s="75"/>
      <c r="D325" s="75"/>
      <c r="E325" s="75"/>
      <c r="F325" s="75"/>
      <c r="G325" s="75"/>
      <c r="H325" s="75"/>
      <c r="I325" s="75"/>
      <c r="J325" s="75"/>
      <c r="K325" s="196"/>
      <c r="L325" s="196"/>
      <c r="M325" s="76"/>
      <c r="N325" s="2"/>
      <c r="O325" s="2"/>
      <c r="P325" s="2"/>
      <c r="Q325" s="2"/>
      <c r="R325" s="2"/>
    </row>
    <row r="326" spans="1:18" ht="15">
      <c r="A326" s="2"/>
      <c r="B326" s="2"/>
      <c r="C326" s="75"/>
      <c r="D326" s="75"/>
      <c r="E326" s="75"/>
      <c r="F326" s="75"/>
      <c r="G326" s="75"/>
      <c r="H326" s="75"/>
      <c r="I326" s="75"/>
      <c r="J326" s="75"/>
      <c r="K326" s="196"/>
      <c r="L326" s="196"/>
      <c r="M326" s="76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6"/>
      <c r="L327" s="196"/>
      <c r="M327" s="76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6"/>
      <c r="L328" s="196"/>
      <c r="M328" s="76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6"/>
      <c r="L329" s="196"/>
      <c r="M329" s="76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6"/>
      <c r="L330" s="196"/>
      <c r="M330" s="76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6"/>
      <c r="L331" s="196"/>
      <c r="M331" s="76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6"/>
      <c r="L332" s="196"/>
      <c r="M332" s="76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6"/>
      <c r="L333" s="196"/>
      <c r="M333" s="76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6"/>
      <c r="L334" s="196"/>
      <c r="M334" s="76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6"/>
      <c r="L335" s="196"/>
      <c r="M335" s="76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6"/>
      <c r="L336" s="196"/>
      <c r="M336" s="76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6"/>
      <c r="L337" s="196"/>
      <c r="M337" s="76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6"/>
      <c r="L338" s="196"/>
      <c r="M338" s="76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6"/>
      <c r="L339" s="196"/>
      <c r="M339" s="76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6"/>
      <c r="L340" s="196"/>
      <c r="M340" s="76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6"/>
      <c r="L341" s="196"/>
      <c r="M341" s="76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6"/>
      <c r="L342" s="196"/>
      <c r="M342" s="76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6"/>
      <c r="L343" s="196"/>
      <c r="M343" s="76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6"/>
      <c r="L344" s="196"/>
      <c r="M344" s="76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6"/>
      <c r="L345" s="196"/>
      <c r="M345" s="76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6"/>
      <c r="L346" s="196"/>
      <c r="M346" s="76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6"/>
      <c r="L347" s="196"/>
      <c r="M347" s="76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6"/>
      <c r="L348" s="196"/>
      <c r="M348" s="76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6"/>
      <c r="L349" s="196"/>
      <c r="M349" s="76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6"/>
      <c r="L350" s="196"/>
      <c r="M350" s="76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6"/>
      <c r="L351" s="196"/>
      <c r="M351" s="76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6"/>
      <c r="L352" s="196"/>
      <c r="M352" s="76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6"/>
      <c r="L353" s="196"/>
      <c r="M353" s="76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6"/>
      <c r="L354" s="196"/>
      <c r="M354" s="76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6"/>
      <c r="L355" s="196"/>
      <c r="M355" s="76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6"/>
      <c r="L356" s="196"/>
      <c r="M356" s="76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6"/>
      <c r="L357" s="196"/>
      <c r="M357" s="76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6"/>
      <c r="L358" s="196"/>
      <c r="M358" s="76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6"/>
      <c r="L359" s="196"/>
      <c r="M359" s="76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6"/>
      <c r="L360" s="196"/>
      <c r="M360" s="76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6"/>
      <c r="L361" s="196"/>
      <c r="M361" s="76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6"/>
      <c r="L362" s="196"/>
      <c r="M362" s="76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6"/>
      <c r="L363" s="196"/>
      <c r="M363" s="76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6"/>
      <c r="L364" s="196"/>
      <c r="M364" s="76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6"/>
      <c r="L365" s="196"/>
      <c r="M365" s="76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6"/>
      <c r="L366" s="196"/>
      <c r="M366" s="76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6"/>
      <c r="L367" s="196"/>
      <c r="M367" s="76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6"/>
      <c r="L368" s="196"/>
      <c r="M368" s="76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6"/>
      <c r="L369" s="196"/>
      <c r="M369" s="76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6"/>
      <c r="L370" s="196"/>
      <c r="M370" s="76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6"/>
      <c r="L371" s="196"/>
      <c r="M371" s="76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6"/>
      <c r="L372" s="196"/>
      <c r="M372" s="76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6"/>
      <c r="L373" s="196"/>
      <c r="M373" s="76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6"/>
      <c r="L374" s="196"/>
      <c r="M374" s="76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6"/>
      <c r="L375" s="196"/>
      <c r="M375" s="76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6"/>
      <c r="L376" s="196"/>
      <c r="M376" s="76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6"/>
      <c r="L377" s="196"/>
      <c r="M377" s="76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6"/>
      <c r="L378" s="196"/>
      <c r="M378" s="76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6"/>
      <c r="L379" s="196"/>
      <c r="M379" s="76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6"/>
      <c r="L380" s="196"/>
      <c r="M380" s="76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6"/>
      <c r="L381" s="196"/>
      <c r="M381" s="76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6"/>
      <c r="L382" s="196"/>
      <c r="M382" s="76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6"/>
      <c r="L383" s="196"/>
      <c r="M383" s="76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6"/>
      <c r="L384" s="196"/>
      <c r="M384" s="76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6"/>
      <c r="L385" s="196"/>
      <c r="M385" s="76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6"/>
      <c r="L386" s="196"/>
      <c r="M386" s="76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6"/>
      <c r="L387" s="196"/>
      <c r="M387" s="76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6"/>
      <c r="L388" s="196"/>
      <c r="M388" s="76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6"/>
      <c r="L389" s="196"/>
      <c r="M389" s="76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6"/>
      <c r="L390" s="196"/>
      <c r="M390" s="76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6"/>
      <c r="L391" s="196"/>
      <c r="M391" s="76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6"/>
      <c r="L392" s="196"/>
      <c r="M392" s="76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6"/>
      <c r="L393" s="196"/>
      <c r="M393" s="76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6"/>
      <c r="L394" s="196"/>
      <c r="M394" s="76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6"/>
      <c r="L395" s="196"/>
      <c r="M395" s="76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6"/>
      <c r="L396" s="196"/>
      <c r="M396" s="76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6"/>
      <c r="L397" s="196"/>
      <c r="M397" s="76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6"/>
      <c r="L398" s="196"/>
      <c r="M398" s="76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6"/>
      <c r="L399" s="196"/>
      <c r="M399" s="76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6"/>
      <c r="L400" s="196"/>
      <c r="M400" s="76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6"/>
      <c r="L401" s="196"/>
      <c r="M401" s="76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6"/>
      <c r="L402" s="196"/>
      <c r="M402" s="76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6"/>
      <c r="L403" s="196"/>
      <c r="M403" s="76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6"/>
      <c r="L404" s="196"/>
      <c r="M404" s="76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6"/>
      <c r="L405" s="196"/>
      <c r="M405" s="76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6"/>
      <c r="L406" s="196"/>
      <c r="M406" s="76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6"/>
      <c r="L407" s="196"/>
      <c r="M407" s="76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6"/>
      <c r="L408" s="196"/>
      <c r="M408" s="76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6"/>
      <c r="L409" s="196"/>
      <c r="M409" s="76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6"/>
      <c r="L410" s="196"/>
      <c r="M410" s="76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6"/>
      <c r="L411" s="196"/>
      <c r="M411" s="76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6"/>
      <c r="L412" s="196"/>
      <c r="M412" s="76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6"/>
      <c r="L413" s="196"/>
      <c r="M413" s="76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6"/>
      <c r="L414" s="196"/>
      <c r="M414" s="76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6"/>
      <c r="L415" s="196"/>
      <c r="M415" s="76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6"/>
      <c r="L416" s="196"/>
      <c r="M416" s="76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6"/>
      <c r="L417" s="196"/>
      <c r="M417" s="76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6"/>
      <c r="L418" s="196"/>
      <c r="M418" s="76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6"/>
      <c r="L419" s="196"/>
      <c r="M419" s="76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6"/>
      <c r="L420" s="196"/>
      <c r="M420" s="76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6"/>
      <c r="L421" s="196"/>
      <c r="M421" s="76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6"/>
      <c r="L422" s="196"/>
      <c r="M422" s="76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6"/>
      <c r="L423" s="196"/>
      <c r="M423" s="76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6"/>
      <c r="L424" s="196"/>
      <c r="M424" s="76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6"/>
      <c r="L425" s="196"/>
      <c r="M425" s="76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6"/>
      <c r="L426" s="196"/>
      <c r="M426" s="76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6"/>
      <c r="L427" s="196"/>
      <c r="M427" s="76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6"/>
      <c r="L428" s="196"/>
      <c r="M428" s="76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6"/>
      <c r="L429" s="196"/>
      <c r="M429" s="76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6"/>
      <c r="L430" s="196"/>
      <c r="M430" s="76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6"/>
      <c r="L431" s="196"/>
      <c r="M431" s="76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6"/>
      <c r="L432" s="196"/>
      <c r="M432" s="76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6"/>
      <c r="L433" s="196"/>
      <c r="M433" s="76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6"/>
      <c r="L434" s="196"/>
      <c r="M434" s="76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6"/>
      <c r="L435" s="196"/>
      <c r="M435" s="76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6"/>
      <c r="L436" s="196"/>
      <c r="M436" s="76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6"/>
      <c r="L437" s="196"/>
      <c r="M437" s="76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6"/>
      <c r="L438" s="196"/>
      <c r="M438" s="76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6"/>
      <c r="L439" s="196"/>
      <c r="M439" s="76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6"/>
      <c r="L440" s="196"/>
      <c r="M440" s="76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6"/>
      <c r="L441" s="196"/>
      <c r="M441" s="76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6"/>
      <c r="L442" s="196"/>
      <c r="M442" s="76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6"/>
      <c r="L443" s="196"/>
      <c r="M443" s="76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6"/>
      <c r="L444" s="196"/>
      <c r="M444" s="76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6"/>
      <c r="L445" s="196"/>
      <c r="M445" s="76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6"/>
      <c r="L446" s="196"/>
      <c r="M446" s="76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6"/>
      <c r="L447" s="196"/>
      <c r="M447" s="76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6"/>
      <c r="L448" s="196"/>
      <c r="M448" s="76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6"/>
      <c r="L449" s="196"/>
      <c r="M449" s="76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6"/>
      <c r="L450" s="196"/>
      <c r="M450" s="76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6"/>
      <c r="L451" s="196"/>
      <c r="M451" s="76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6"/>
      <c r="L452" s="196"/>
      <c r="M452" s="76"/>
      <c r="N452" s="2"/>
      <c r="O452" s="2"/>
      <c r="P452" s="2"/>
      <c r="Q452" s="2"/>
      <c r="R452" s="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4" r:id="rId1"/>
  <rowBreaks count="3" manualBreakCount="3">
    <brk id="46" max="12" man="1"/>
    <brk id="95" max="12" man="1"/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0.21484375" style="81" customWidth="1"/>
    <col min="2" max="2" width="9.77734375" style="81" customWidth="1"/>
    <col min="3" max="3" width="16.10546875" style="81" customWidth="1"/>
    <col min="4" max="4" width="16.21484375" style="81" customWidth="1"/>
    <col min="5" max="5" width="13.6640625" style="81" customWidth="1"/>
    <col min="6" max="6" width="14.3359375" style="81" customWidth="1"/>
    <col min="7" max="7" width="21.4453125" style="81" customWidth="1"/>
    <col min="8" max="8" width="17.88671875" style="81" customWidth="1"/>
    <col min="9" max="9" width="15.4453125" style="81" customWidth="1"/>
    <col min="10" max="10" width="14.6640625" style="81" customWidth="1"/>
    <col min="11" max="11" width="11.5546875" style="81" customWidth="1"/>
    <col min="12" max="12" width="12.77734375" style="81" customWidth="1"/>
    <col min="13" max="13" width="14.5546875" style="81" customWidth="1"/>
    <col min="14" max="14" width="9.4453125" style="81" customWidth="1"/>
    <col min="15" max="15" width="13.88671875" style="81" customWidth="1"/>
    <col min="16" max="16" width="3.77734375" style="81" customWidth="1"/>
    <col min="17" max="16384" width="9.6640625" style="81" customWidth="1"/>
  </cols>
  <sheetData>
    <row r="1" spans="1:15" ht="23.25">
      <c r="A1" s="79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3.25">
      <c r="A2" s="79" t="s">
        <v>23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3.25">
      <c r="A3" s="79" t="s">
        <v>78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3.25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" thickBot="1">
      <c r="A5" s="79" t="s">
        <v>24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6.5" thickTop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 t="s">
        <v>25</v>
      </c>
      <c r="P6" s="84"/>
    </row>
    <row r="7" spans="1:16" ht="15.75">
      <c r="A7" s="106" t="s">
        <v>26</v>
      </c>
      <c r="B7" s="85" t="s">
        <v>13</v>
      </c>
      <c r="C7" s="85" t="s">
        <v>15</v>
      </c>
      <c r="D7" s="85" t="s">
        <v>56</v>
      </c>
      <c r="E7" s="283" t="s">
        <v>73</v>
      </c>
      <c r="F7" s="85" t="s">
        <v>16</v>
      </c>
      <c r="G7" s="85" t="s">
        <v>63</v>
      </c>
      <c r="H7" s="85" t="s">
        <v>17</v>
      </c>
      <c r="I7" s="85" t="s">
        <v>55</v>
      </c>
      <c r="J7" s="85" t="s">
        <v>27</v>
      </c>
      <c r="K7" s="85" t="s">
        <v>58</v>
      </c>
      <c r="L7" s="85" t="s">
        <v>53</v>
      </c>
      <c r="M7" s="85" t="s">
        <v>19</v>
      </c>
      <c r="N7" s="85" t="s">
        <v>54</v>
      </c>
      <c r="O7" s="85" t="s">
        <v>28</v>
      </c>
      <c r="P7" s="84"/>
    </row>
    <row r="8" spans="1:16" ht="16.5" thickBot="1">
      <c r="A8" s="86"/>
      <c r="B8" s="86"/>
      <c r="C8" s="86"/>
      <c r="D8" s="86"/>
      <c r="E8" s="284" t="s">
        <v>75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4"/>
    </row>
    <row r="9" spans="1:16" ht="15.75" thickTop="1">
      <c r="A9" s="87"/>
      <c r="B9" s="87"/>
      <c r="C9" s="87"/>
      <c r="D9" s="87"/>
      <c r="E9" s="88"/>
      <c r="F9" s="88"/>
      <c r="G9" s="88"/>
      <c r="H9" s="88"/>
      <c r="I9" s="88"/>
      <c r="J9" s="87"/>
      <c r="K9" s="87"/>
      <c r="L9" s="87"/>
      <c r="M9" s="87"/>
      <c r="N9" s="87"/>
      <c r="O9" s="87"/>
      <c r="P9" s="84"/>
    </row>
    <row r="10" spans="1:16" ht="15.75">
      <c r="A10" s="89">
        <f>DATE(2012,7,1)</f>
        <v>41091</v>
      </c>
      <c r="B10" s="90">
        <f>'MONTHLY STATS'!$C$9*2</f>
        <v>677976</v>
      </c>
      <c r="C10" s="90">
        <f>'MONTHLY STATS'!$C$22*2</f>
        <v>411138</v>
      </c>
      <c r="D10" s="90">
        <f>'MONTHLY STATS'!$C$35*2</f>
        <v>175222</v>
      </c>
      <c r="E10" s="90">
        <f>'MONTHLY STATS'!$C$48*2</f>
        <v>1164520</v>
      </c>
      <c r="F10" s="90">
        <f>'MONTHLY STATS'!$C$61*2</f>
        <v>761208</v>
      </c>
      <c r="G10" s="90"/>
      <c r="H10" s="90">
        <f>'MONTHLY STATS'!$C$84*2</f>
        <v>499492</v>
      </c>
      <c r="I10" s="90">
        <f>'MONTHLY STATS'!$C$97*2</f>
        <v>960862</v>
      </c>
      <c r="J10" s="90">
        <f>'MONTHLY STATS'!$C$110*2</f>
        <v>1124502</v>
      </c>
      <c r="K10" s="90">
        <f>'MONTHLY STATS'!$C$123*2</f>
        <v>1119932</v>
      </c>
      <c r="L10" s="90">
        <f>'MONTHLY STATS'!$C$136*2</f>
        <v>206830</v>
      </c>
      <c r="M10" s="90">
        <f>'MONTHLY STATS'!$C$149*2</f>
        <v>1369210</v>
      </c>
      <c r="N10" s="90">
        <f>'MONTHLY STATS'!$C$162*2</f>
        <v>214382</v>
      </c>
      <c r="O10" s="91">
        <f aca="true" t="shared" si="0" ref="O10:O15">SUM(B10:N10)</f>
        <v>8685274</v>
      </c>
      <c r="P10" s="84"/>
    </row>
    <row r="11" spans="1:16" ht="15.75">
      <c r="A11" s="89">
        <f>DATE(2012,8,1)</f>
        <v>41122</v>
      </c>
      <c r="B11" s="90">
        <f>'MONTHLY STATS'!$C$10*2</f>
        <v>686758</v>
      </c>
      <c r="C11" s="90">
        <f>'MONTHLY STATS'!$C$23*2</f>
        <v>392770</v>
      </c>
      <c r="D11" s="90">
        <f>'MONTHLY STATS'!$C$36*2</f>
        <v>168296</v>
      </c>
      <c r="E11" s="90">
        <f>'MONTHLY STATS'!$C$49*2</f>
        <v>1056586</v>
      </c>
      <c r="F11" s="90">
        <f>'MONTHLY STATS'!$C$62*2</f>
        <v>747380</v>
      </c>
      <c r="G11" s="90"/>
      <c r="H11" s="90">
        <f>'MONTHLY STATS'!$C$85*2</f>
        <v>500132</v>
      </c>
      <c r="I11" s="90">
        <f>'MONTHLY STATS'!$C$98*2</f>
        <v>928886</v>
      </c>
      <c r="J11" s="90">
        <f>'MONTHLY STATS'!$C$111*2</f>
        <v>1099818</v>
      </c>
      <c r="K11" s="90">
        <f>'MONTHLY STATS'!$C$124*2</f>
        <v>1043638</v>
      </c>
      <c r="L11" s="90">
        <f>'MONTHLY STATS'!$C$137*2</f>
        <v>194148</v>
      </c>
      <c r="M11" s="90">
        <f>'MONTHLY STATS'!$C$150*2</f>
        <v>1335274</v>
      </c>
      <c r="N11" s="90">
        <f>'MONTHLY STATS'!$C$163*2</f>
        <v>206370</v>
      </c>
      <c r="O11" s="91">
        <f t="shared" si="0"/>
        <v>8360056</v>
      </c>
      <c r="P11" s="84"/>
    </row>
    <row r="12" spans="1:16" ht="15.75">
      <c r="A12" s="89">
        <f>DATE(2012,9,1)</f>
        <v>41153</v>
      </c>
      <c r="B12" s="90">
        <f>'MONTHLY STATS'!$C$11*2</f>
        <v>664268</v>
      </c>
      <c r="C12" s="90">
        <f>'MONTHLY STATS'!$C$24*2</f>
        <v>372080</v>
      </c>
      <c r="D12" s="90">
        <f>'MONTHLY STATS'!$C$37*2</f>
        <v>155090</v>
      </c>
      <c r="E12" s="90">
        <f>'MONTHLY STATS'!$C$50*2</f>
        <v>1035744</v>
      </c>
      <c r="F12" s="90">
        <f>'MONTHLY STATS'!$C$63*2</f>
        <v>714860</v>
      </c>
      <c r="G12" s="90"/>
      <c r="H12" s="90">
        <f>'MONTHLY STATS'!$C$86*2</f>
        <v>492472</v>
      </c>
      <c r="I12" s="90">
        <f>'MONTHLY STATS'!$C$99*2</f>
        <v>872862</v>
      </c>
      <c r="J12" s="90">
        <f>'MONTHLY STATS'!$C$112*2</f>
        <v>1021264</v>
      </c>
      <c r="K12" s="90">
        <f>'MONTHLY STATS'!$C$125*2</f>
        <v>1037752</v>
      </c>
      <c r="L12" s="90">
        <f>'MONTHLY STATS'!$C$138*2</f>
        <v>186968</v>
      </c>
      <c r="M12" s="90">
        <f>'MONTHLY STATS'!$C$151*2</f>
        <v>1268242</v>
      </c>
      <c r="N12" s="90">
        <f>'MONTHLY STATS'!$C$164*2</f>
        <v>199500</v>
      </c>
      <c r="O12" s="91">
        <f t="shared" si="0"/>
        <v>8021102</v>
      </c>
      <c r="P12" s="84"/>
    </row>
    <row r="13" spans="1:16" ht="15.75">
      <c r="A13" s="89">
        <f>DATE(2012,10,1)</f>
        <v>41183</v>
      </c>
      <c r="B13" s="90">
        <f>'MONTHLY STATS'!$C$12*2</f>
        <v>656156</v>
      </c>
      <c r="C13" s="90">
        <f>'MONTHLY STATS'!$C$25*2</f>
        <v>339546</v>
      </c>
      <c r="D13" s="90">
        <f>'MONTHLY STATS'!$C$38*2</f>
        <v>140180</v>
      </c>
      <c r="E13" s="90">
        <f>'MONTHLY STATS'!$C$51*2</f>
        <v>948050</v>
      </c>
      <c r="F13" s="90">
        <f>'MONTHLY STATS'!$C$64*2</f>
        <v>685442</v>
      </c>
      <c r="G13" s="90">
        <f>'MONTHLY STATS'!$C$74*2</f>
        <v>41554</v>
      </c>
      <c r="H13" s="90">
        <f>'MONTHLY STATS'!$C$87*2</f>
        <v>459202</v>
      </c>
      <c r="I13" s="90">
        <f>'MONTHLY STATS'!$C$100*2</f>
        <v>827732</v>
      </c>
      <c r="J13" s="90">
        <f>'MONTHLY STATS'!$C$113*2</f>
        <v>1077922</v>
      </c>
      <c r="K13" s="90">
        <f>'MONTHLY STATS'!$C$126*2</f>
        <v>893412</v>
      </c>
      <c r="L13" s="90">
        <f>'MONTHLY STATS'!$C$139*2</f>
        <v>176986</v>
      </c>
      <c r="M13" s="90">
        <f>'MONTHLY STATS'!$C$152*2</f>
        <v>1199698</v>
      </c>
      <c r="N13" s="90">
        <f>'MONTHLY STATS'!$C$165*2</f>
        <v>197380</v>
      </c>
      <c r="O13" s="91">
        <f t="shared" si="0"/>
        <v>7643260</v>
      </c>
      <c r="P13" s="84"/>
    </row>
    <row r="14" spans="1:16" ht="15.75">
      <c r="A14" s="89">
        <f>DATE(2012,11,1)</f>
        <v>41214</v>
      </c>
      <c r="B14" s="90">
        <f>'MONTHLY STATS'!$C$13*2</f>
        <v>643522</v>
      </c>
      <c r="C14" s="90">
        <f>'MONTHLY STATS'!$C$26*2</f>
        <v>333682</v>
      </c>
      <c r="D14" s="90">
        <f>'MONTHLY STATS'!$C$39*2</f>
        <v>135338</v>
      </c>
      <c r="E14" s="90">
        <f>'MONTHLY STATS'!$C$52*2</f>
        <v>947702</v>
      </c>
      <c r="F14" s="90">
        <f>'MONTHLY STATS'!$C$65*2</f>
        <v>718326</v>
      </c>
      <c r="G14" s="90">
        <f>'MONTHLY STATS'!$C$75*2</f>
        <v>422154</v>
      </c>
      <c r="H14" s="90">
        <f>'MONTHLY STATS'!$C$88*2</f>
        <v>459450</v>
      </c>
      <c r="I14" s="90">
        <f>'MONTHLY STATS'!$C$101*2</f>
        <v>798726</v>
      </c>
      <c r="J14" s="90">
        <f>'MONTHLY STATS'!$C$114*2</f>
        <v>1091968</v>
      </c>
      <c r="K14" s="90">
        <f>'MONTHLY STATS'!$C$127*2</f>
        <v>927372</v>
      </c>
      <c r="L14" s="90">
        <f>'MONTHLY STATS'!$C$140*2</f>
        <v>182242</v>
      </c>
      <c r="M14" s="90">
        <f>'MONTHLY STATS'!$C$153*2</f>
        <v>1227716</v>
      </c>
      <c r="N14" s="90">
        <f>'MONTHLY STATS'!$C$166*2</f>
        <v>199592</v>
      </c>
      <c r="O14" s="91">
        <f t="shared" si="0"/>
        <v>8087790</v>
      </c>
      <c r="P14" s="84"/>
    </row>
    <row r="15" spans="1:16" ht="15.75">
      <c r="A15" s="89">
        <f>DATE(2012,12,1)</f>
        <v>41244</v>
      </c>
      <c r="B15" s="90">
        <f>'MONTHLY STATS'!$C$14*2</f>
        <v>676660</v>
      </c>
      <c r="C15" s="90">
        <f>'MONTHLY STATS'!$C$27*2</f>
        <v>327458</v>
      </c>
      <c r="D15" s="90">
        <f>'MONTHLY STATS'!$C$40*2</f>
        <v>139776</v>
      </c>
      <c r="E15" s="90">
        <f>'MONTHLY STATS'!$C$53*2</f>
        <v>1065848</v>
      </c>
      <c r="F15" s="90">
        <f>'MONTHLY STATS'!$C$66*2</f>
        <v>723320</v>
      </c>
      <c r="G15" s="90">
        <f>'MONTHLY STATS'!$C$76*2</f>
        <v>383526</v>
      </c>
      <c r="H15" s="90">
        <f>'MONTHLY STATS'!$C$89*2</f>
        <v>468768</v>
      </c>
      <c r="I15" s="90">
        <f>'MONTHLY STATS'!$C$102*2</f>
        <v>847808</v>
      </c>
      <c r="J15" s="90">
        <f>'MONTHLY STATS'!$C$115*2</f>
        <v>1084478</v>
      </c>
      <c r="K15" s="90">
        <f>'MONTHLY STATS'!$C$128*2</f>
        <v>1029706</v>
      </c>
      <c r="L15" s="90">
        <f>'MONTHLY STATS'!$C$141*2</f>
        <v>181530</v>
      </c>
      <c r="M15" s="90">
        <f>'MONTHLY STATS'!$C$154*2</f>
        <v>1315190</v>
      </c>
      <c r="N15" s="90">
        <f>'MONTHLY STATS'!$C$167*2</f>
        <v>207554</v>
      </c>
      <c r="O15" s="91">
        <f t="shared" si="0"/>
        <v>8451622</v>
      </c>
      <c r="P15" s="84"/>
    </row>
    <row r="16" spans="1:16" ht="15.75">
      <c r="A16" s="89">
        <f>DATE(2013,1,1)</f>
        <v>41275</v>
      </c>
      <c r="B16" s="90">
        <f>'MONTHLY STATS'!$C$15*2</f>
        <v>652206</v>
      </c>
      <c r="C16" s="90">
        <f>'MONTHLY STATS'!$C$28*2</f>
        <v>320654</v>
      </c>
      <c r="D16" s="90">
        <f>'MONTHLY STATS'!$C$41*2</f>
        <v>126682</v>
      </c>
      <c r="E16" s="90">
        <f>'MONTHLY STATS'!$C$54*2</f>
        <v>1179856</v>
      </c>
      <c r="F16" s="90">
        <f>'MONTHLY STATS'!$C$67*2</f>
        <v>627450</v>
      </c>
      <c r="G16" s="90">
        <f>'MONTHLY STATS'!$C$77*2</f>
        <v>374880</v>
      </c>
      <c r="H16" s="90">
        <f>'MONTHLY STATS'!$C$90*2</f>
        <v>434830</v>
      </c>
      <c r="I16" s="90">
        <f>'MONTHLY STATS'!$C$103*2</f>
        <v>737916</v>
      </c>
      <c r="J16" s="90">
        <f>'MONTHLY STATS'!$C$116*2</f>
        <v>1014342</v>
      </c>
      <c r="K16" s="90">
        <f>'MONTHLY STATS'!$C$129*2</f>
        <v>962278</v>
      </c>
      <c r="L16" s="90">
        <f>'MONTHLY STATS'!$C$142*2</f>
        <v>172342</v>
      </c>
      <c r="M16" s="90">
        <f>'MONTHLY STATS'!$C$155*2</f>
        <v>1196084</v>
      </c>
      <c r="N16" s="90">
        <f>'MONTHLY STATS'!$C$168*2</f>
        <v>190236</v>
      </c>
      <c r="O16" s="91">
        <f>SUM(B16:N16)</f>
        <v>7989756</v>
      </c>
      <c r="P16" s="84"/>
    </row>
    <row r="17" spans="1:16" ht="15.75">
      <c r="A17" s="89">
        <f>DATE(2013,2,1)</f>
        <v>41306</v>
      </c>
      <c r="B17" s="90">
        <f>'MONTHLY STATS'!$C$16*2</f>
        <v>621482</v>
      </c>
      <c r="C17" s="90">
        <f>'MONTHLY STATS'!$C$29*2</f>
        <v>320760</v>
      </c>
      <c r="D17" s="90">
        <f>'MONTHLY STATS'!$C$42*2</f>
        <v>144006</v>
      </c>
      <c r="E17" s="90">
        <f>'MONTHLY STATS'!$C$55*2</f>
        <v>1124306</v>
      </c>
      <c r="F17" s="90">
        <f>'MONTHLY STATS'!$C$68*2</f>
        <v>633044</v>
      </c>
      <c r="G17" s="90">
        <f>'MONTHLY STATS'!$C$78*2</f>
        <v>472308</v>
      </c>
      <c r="H17" s="90">
        <f>'MONTHLY STATS'!$C$91*2</f>
        <v>444400</v>
      </c>
      <c r="I17" s="90">
        <f>'MONTHLY STATS'!$C$104*2</f>
        <v>826742</v>
      </c>
      <c r="J17" s="90">
        <f>'MONTHLY STATS'!$C$117*2</f>
        <v>996860</v>
      </c>
      <c r="K17" s="90">
        <f>'MONTHLY STATS'!$C$130*2</f>
        <v>990276</v>
      </c>
      <c r="L17" s="90">
        <f>'MONTHLY STATS'!$C$143*2</f>
        <v>172526</v>
      </c>
      <c r="M17" s="90">
        <f>'MONTHLY STATS'!$C$156*2</f>
        <v>1178512</v>
      </c>
      <c r="N17" s="90">
        <f>'MONTHLY STATS'!$C$169*2</f>
        <v>196428</v>
      </c>
      <c r="O17" s="91">
        <f>SUM(B17:N17)</f>
        <v>8121650</v>
      </c>
      <c r="P17" s="84"/>
    </row>
    <row r="18" spans="1:16" ht="15.75">
      <c r="A18" s="89">
        <f>DATE(2013,3,1)</f>
        <v>41334</v>
      </c>
      <c r="B18" s="90">
        <f>'MONTHLY STATS'!$C$17*2</f>
        <v>700426</v>
      </c>
      <c r="C18" s="90">
        <f>'MONTHLY STATS'!$C$30*2</f>
        <v>377736</v>
      </c>
      <c r="D18" s="90">
        <f>'MONTHLY STATS'!$C$43*2</f>
        <v>155494</v>
      </c>
      <c r="E18" s="90">
        <f>'MONTHLY STATS'!$C$56*2</f>
        <v>1115006</v>
      </c>
      <c r="F18" s="90">
        <f>'MONTHLY STATS'!$C$69*2</f>
        <v>721112</v>
      </c>
      <c r="G18" s="90">
        <f>'MONTHLY STATS'!$C$79*2</f>
        <v>577734</v>
      </c>
      <c r="H18" s="90">
        <f>'MONTHLY STATS'!$C$92*2</f>
        <v>504858</v>
      </c>
      <c r="I18" s="90">
        <f>'MONTHLY STATS'!$C$105*2</f>
        <v>887990</v>
      </c>
      <c r="J18" s="90">
        <f>'MONTHLY STATS'!$C$118*2</f>
        <v>1151990</v>
      </c>
      <c r="K18" s="90">
        <f>'MONTHLY STATS'!$C$131*2</f>
        <v>1066530</v>
      </c>
      <c r="L18" s="90">
        <f>'MONTHLY STATS'!$C$144*2</f>
        <v>203720</v>
      </c>
      <c r="M18" s="90">
        <f>'MONTHLY STATS'!$C$157*2</f>
        <v>1341016</v>
      </c>
      <c r="N18" s="90">
        <f>'MONTHLY STATS'!$C$170*2</f>
        <v>228706</v>
      </c>
      <c r="O18" s="91">
        <f>SUM(B18:N18)</f>
        <v>9032318</v>
      </c>
      <c r="P18" s="84"/>
    </row>
    <row r="19" spans="1:16" ht="15.75">
      <c r="A19" s="89">
        <f>DATE(2013,4,1)</f>
        <v>41365</v>
      </c>
      <c r="B19" s="90">
        <f>'MONTHLY STATS'!$C$18*2</f>
        <v>619638</v>
      </c>
      <c r="C19" s="90">
        <f>'MONTHLY STATS'!$C$31*2</f>
        <v>335232</v>
      </c>
      <c r="D19" s="90">
        <f>'MONTHLY STATS'!$C$44*2</f>
        <v>149792</v>
      </c>
      <c r="E19" s="90">
        <f>'MONTHLY STATS'!$C$57*2</f>
        <v>969634</v>
      </c>
      <c r="F19" s="90">
        <f>'MONTHLY STATS'!$C$70*2</f>
        <v>649986</v>
      </c>
      <c r="G19" s="90">
        <f>'MONTHLY STATS'!$C$80*2</f>
        <v>394222</v>
      </c>
      <c r="H19" s="90">
        <f>'MONTHLY STATS'!$C$93*2</f>
        <v>474408</v>
      </c>
      <c r="I19" s="90">
        <f>'MONTHLY STATS'!$C$106*2</f>
        <v>770210</v>
      </c>
      <c r="J19" s="90">
        <f>'MONTHLY STATS'!$C$119*2</f>
        <v>1002272</v>
      </c>
      <c r="K19" s="90">
        <f>'MONTHLY STATS'!$C$132*2</f>
        <v>964372</v>
      </c>
      <c r="L19" s="90">
        <f>'MONTHLY STATS'!$C$145*2</f>
        <v>177914</v>
      </c>
      <c r="M19" s="90">
        <f>'MONTHLY STATS'!$C$158*2</f>
        <v>1115480</v>
      </c>
      <c r="N19" s="90">
        <f>'MONTHLY STATS'!$C$171*2</f>
        <v>198222</v>
      </c>
      <c r="O19" s="91">
        <f>SUM(B19:N19)</f>
        <v>7821382</v>
      </c>
      <c r="P19" s="84"/>
    </row>
    <row r="20" spans="1:16" ht="15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84"/>
    </row>
    <row r="21" spans="1:16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84"/>
    </row>
    <row r="22" spans="1:16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84"/>
    </row>
    <row r="23" spans="1:16" ht="15.75">
      <c r="A23" s="92" t="s">
        <v>29</v>
      </c>
      <c r="B23" s="91">
        <f aca="true" t="shared" si="1" ref="B23:O23">SUM(B10:B21)</f>
        <v>6599092</v>
      </c>
      <c r="C23" s="91">
        <f t="shared" si="1"/>
        <v>3531056</v>
      </c>
      <c r="D23" s="91">
        <f t="shared" si="1"/>
        <v>1489876</v>
      </c>
      <c r="E23" s="91">
        <f t="shared" si="1"/>
        <v>10607252</v>
      </c>
      <c r="F23" s="91">
        <f t="shared" si="1"/>
        <v>6982128</v>
      </c>
      <c r="G23" s="91">
        <f>SUM(G10:G21)</f>
        <v>2666378</v>
      </c>
      <c r="H23" s="91">
        <f t="shared" si="1"/>
        <v>4738012</v>
      </c>
      <c r="I23" s="91">
        <f>SUM(I10:I21)</f>
        <v>8459734</v>
      </c>
      <c r="J23" s="91">
        <f t="shared" si="1"/>
        <v>10665416</v>
      </c>
      <c r="K23" s="91">
        <f>SUM(K10:K21)</f>
        <v>10035268</v>
      </c>
      <c r="L23" s="91">
        <f t="shared" si="1"/>
        <v>1855206</v>
      </c>
      <c r="M23" s="91">
        <f t="shared" si="1"/>
        <v>12546422</v>
      </c>
      <c r="N23" s="91">
        <f t="shared" si="1"/>
        <v>2038370</v>
      </c>
      <c r="O23" s="91">
        <f t="shared" si="1"/>
        <v>82214210</v>
      </c>
      <c r="P23" s="84"/>
    </row>
    <row r="24" spans="1:16" ht="16.5" thickBot="1">
      <c r="A24" s="93"/>
      <c r="B24" s="91"/>
      <c r="C24" s="91"/>
      <c r="D24" s="91"/>
      <c r="E24" s="90"/>
      <c r="F24" s="90"/>
      <c r="G24" s="90"/>
      <c r="H24" s="90"/>
      <c r="I24" s="90"/>
      <c r="J24" s="91"/>
      <c r="K24" s="91"/>
      <c r="L24" s="91"/>
      <c r="M24" s="91"/>
      <c r="N24" s="91"/>
      <c r="O24" s="91"/>
      <c r="P24" s="84"/>
    </row>
    <row r="25" spans="1:15" ht="15.75" thickTop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96"/>
      <c r="M25" s="96"/>
      <c r="N25" s="96"/>
      <c r="O25" s="96"/>
    </row>
    <row r="26" spans="1:15" ht="24" thickBot="1">
      <c r="A26" s="97" t="s">
        <v>30</v>
      </c>
      <c r="B26" s="98"/>
      <c r="C26" s="99"/>
      <c r="D26" s="99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0"/>
    </row>
    <row r="27" spans="1:16" ht="16.5" thickTop="1">
      <c r="A27" s="101"/>
      <c r="B27" s="102"/>
      <c r="C27" s="102"/>
      <c r="D27" s="102"/>
      <c r="E27" s="103"/>
      <c r="F27" s="103"/>
      <c r="G27" s="103"/>
      <c r="H27" s="103"/>
      <c r="I27" s="103"/>
      <c r="J27" s="102"/>
      <c r="K27" s="104"/>
      <c r="L27" s="104"/>
      <c r="M27" s="104"/>
      <c r="N27" s="104"/>
      <c r="O27" s="105" t="s">
        <v>25</v>
      </c>
      <c r="P27" s="84"/>
    </row>
    <row r="28" spans="1:16" ht="15.75">
      <c r="A28" s="106" t="s">
        <v>26</v>
      </c>
      <c r="B28" s="85" t="s">
        <v>13</v>
      </c>
      <c r="C28" s="85" t="s">
        <v>15</v>
      </c>
      <c r="D28" s="85" t="s">
        <v>56</v>
      </c>
      <c r="E28" s="283" t="s">
        <v>73</v>
      </c>
      <c r="F28" s="85" t="s">
        <v>16</v>
      </c>
      <c r="G28" s="85" t="s">
        <v>63</v>
      </c>
      <c r="H28" s="85" t="s">
        <v>17</v>
      </c>
      <c r="I28" s="85" t="s">
        <v>55</v>
      </c>
      <c r="J28" s="85" t="s">
        <v>27</v>
      </c>
      <c r="K28" s="107" t="s">
        <v>58</v>
      </c>
      <c r="L28" s="107" t="s">
        <v>53</v>
      </c>
      <c r="M28" s="107" t="s">
        <v>19</v>
      </c>
      <c r="N28" s="107" t="s">
        <v>54</v>
      </c>
      <c r="O28" s="107" t="s">
        <v>28</v>
      </c>
      <c r="P28" s="84"/>
    </row>
    <row r="29" spans="1:16" ht="16.5" thickBot="1">
      <c r="A29" s="108"/>
      <c r="B29" s="109"/>
      <c r="C29" s="109"/>
      <c r="D29" s="109"/>
      <c r="E29" s="284" t="s">
        <v>75</v>
      </c>
      <c r="F29" s="85"/>
      <c r="G29" s="85"/>
      <c r="H29" s="85"/>
      <c r="I29" s="85"/>
      <c r="J29" s="109"/>
      <c r="K29" s="110"/>
      <c r="L29" s="110"/>
      <c r="M29" s="110"/>
      <c r="N29" s="110"/>
      <c r="O29" s="110"/>
      <c r="P29" s="84"/>
    </row>
    <row r="30" spans="1:16" ht="15.75" thickTop="1">
      <c r="A30" s="111"/>
      <c r="B30" s="112"/>
      <c r="C30" s="112"/>
      <c r="D30" s="112"/>
      <c r="E30" s="113"/>
      <c r="F30" s="113"/>
      <c r="G30" s="113"/>
      <c r="H30" s="113"/>
      <c r="I30" s="113"/>
      <c r="J30" s="112"/>
      <c r="K30" s="114"/>
      <c r="L30" s="114"/>
      <c r="M30" s="114"/>
      <c r="N30" s="114"/>
      <c r="O30" s="114"/>
      <c r="P30" s="84"/>
    </row>
    <row r="31" spans="1:16" ht="15.75">
      <c r="A31" s="89">
        <f>DATE(2012,7,1)</f>
        <v>41091</v>
      </c>
      <c r="B31" s="90">
        <f>'MONTHLY STATS'!$K$9*0.21</f>
        <v>2663612.7945</v>
      </c>
      <c r="C31" s="90">
        <f>'MONTHLY STATS'!$K$22*0.21</f>
        <v>1560652.6866</v>
      </c>
      <c r="D31" s="90">
        <f>'MONTHLY STATS'!$K$35*0.21</f>
        <v>672205.1532</v>
      </c>
      <c r="E31" s="90">
        <f>'MONTHLY STATS'!$K$48*0.21</f>
        <v>4908481.3722</v>
      </c>
      <c r="F31" s="90">
        <f>'MONTHLY STATS'!$K$61*0.21</f>
        <v>3339571.3869</v>
      </c>
      <c r="G31" s="90"/>
      <c r="H31" s="90">
        <f>'MONTHLY STATS'!$K$84*0.21</f>
        <v>1397904.6564</v>
      </c>
      <c r="I31" s="90">
        <f>'MONTHLY STATS'!$K$97*0.21</f>
        <v>2905459.2041999996</v>
      </c>
      <c r="J31" s="90">
        <f>'MONTHLY STATS'!$K$110*0.21</f>
        <v>4015718.1833999995</v>
      </c>
      <c r="K31" s="90">
        <f>'MONTHLY STATS'!$K$123*0.21</f>
        <v>3775231.0197</v>
      </c>
      <c r="L31" s="90">
        <f>'MONTHLY STATS'!$K$136*0.21</f>
        <v>705394.3239</v>
      </c>
      <c r="M31" s="90">
        <f>'MONTHLY STATS'!$K$149*0.21</f>
        <v>5009213.5611</v>
      </c>
      <c r="N31" s="90">
        <f>'MONTHLY STATS'!$K$162*0.21</f>
        <v>737937.8643</v>
      </c>
      <c r="O31" s="91">
        <f aca="true" t="shared" si="2" ref="O31:O36">SUM(B31:N31)</f>
        <v>31691382.206399996</v>
      </c>
      <c r="P31" s="84"/>
    </row>
    <row r="32" spans="1:16" ht="15.75">
      <c r="A32" s="89">
        <f>DATE(2012,8,1)</f>
        <v>41122</v>
      </c>
      <c r="B32" s="90">
        <f>'MONTHLY STATS'!$K$10*0.21</f>
        <v>2701788.4488</v>
      </c>
      <c r="C32" s="90">
        <f>'MONTHLY STATS'!$K$23*0.21</f>
        <v>1546929.048</v>
      </c>
      <c r="D32" s="90">
        <f>'MONTHLY STATS'!$K$36*0.21</f>
        <v>652294.5912</v>
      </c>
      <c r="E32" s="90">
        <f>'MONTHLY STATS'!$K$49*0.21</f>
        <v>4272695.91</v>
      </c>
      <c r="F32" s="90">
        <f>'MONTHLY STATS'!$K$62*0.21</f>
        <v>3339351.8612999995</v>
      </c>
      <c r="G32" s="90"/>
      <c r="H32" s="90">
        <f>'MONTHLY STATS'!$K$85*0.21</f>
        <v>1435445.4176999999</v>
      </c>
      <c r="I32" s="90">
        <f>'MONTHLY STATS'!$K$98*0.21</f>
        <v>2901030.6717</v>
      </c>
      <c r="J32" s="90">
        <f>'MONTHLY STATS'!$K$111*0.21</f>
        <v>3753005.7978</v>
      </c>
      <c r="K32" s="90">
        <f>'MONTHLY STATS'!$K$124*0.21</f>
        <v>3744100.4307000004</v>
      </c>
      <c r="L32" s="90">
        <f>'MONTHLY STATS'!$K$137*0.21</f>
        <v>683354.2400999999</v>
      </c>
      <c r="M32" s="90">
        <f>'MONTHLY STATS'!$K$150*0.21</f>
        <v>4864114.2291</v>
      </c>
      <c r="N32" s="90">
        <f>'MONTHLY STATS'!$K$163*0.21</f>
        <v>691542.2934</v>
      </c>
      <c r="O32" s="91">
        <f t="shared" si="2"/>
        <v>30585652.9398</v>
      </c>
      <c r="P32" s="84"/>
    </row>
    <row r="33" spans="1:16" ht="15.75">
      <c r="A33" s="89">
        <f>DATE(2012,9,1)</f>
        <v>41153</v>
      </c>
      <c r="B33" s="90">
        <f>'MONTHLY STATS'!$K$11*0.21</f>
        <v>2666307.0231</v>
      </c>
      <c r="C33" s="90">
        <f>'MONTHLY STATS'!$K$24*0.21</f>
        <v>1468573.3754999998</v>
      </c>
      <c r="D33" s="90">
        <f>'MONTHLY STATS'!$K$37*0.21</f>
        <v>603954.1053</v>
      </c>
      <c r="E33" s="90">
        <f>'MONTHLY STATS'!$K$50*0.21</f>
        <v>4451911.025099999</v>
      </c>
      <c r="F33" s="90">
        <f>'MONTHLY STATS'!$K$63*0.21</f>
        <v>3062718.5316</v>
      </c>
      <c r="G33" s="90"/>
      <c r="H33" s="90">
        <f>'MONTHLY STATS'!$K$86*0.21</f>
        <v>1348766.0318999998</v>
      </c>
      <c r="I33" s="90">
        <f>'MONTHLY STATS'!$K$99*0.21</f>
        <v>2775680.4494999996</v>
      </c>
      <c r="J33" s="90">
        <f>'MONTHLY STATS'!$K$112*0.21</f>
        <v>3594732.2460000003</v>
      </c>
      <c r="K33" s="90">
        <f>'MONTHLY STATS'!$K$125*0.21</f>
        <v>3627647.4591</v>
      </c>
      <c r="L33" s="90">
        <f>'MONTHLY STATS'!$K$138*0.21</f>
        <v>649836.642</v>
      </c>
      <c r="M33" s="90">
        <f>'MONTHLY STATS'!$K$151*0.21</f>
        <v>4806519.1713000005</v>
      </c>
      <c r="N33" s="90">
        <f>'MONTHLY STATS'!$K$164*0.21</f>
        <v>684662.8698</v>
      </c>
      <c r="O33" s="91">
        <f t="shared" si="2"/>
        <v>29741308.930200003</v>
      </c>
      <c r="P33" s="84"/>
    </row>
    <row r="34" spans="1:16" ht="15.75">
      <c r="A34" s="89">
        <f>DATE(2012,10,1)</f>
        <v>41183</v>
      </c>
      <c r="B34" s="90">
        <f>'MONTHLY STATS'!$K$12*0.21</f>
        <v>2561570.7326999996</v>
      </c>
      <c r="C34" s="90">
        <f>'MONTHLY STATS'!$K$25*0.21</f>
        <v>1386824.6238</v>
      </c>
      <c r="D34" s="90">
        <f>'MONTHLY STATS'!$K$38*0.21</f>
        <v>554192.4402</v>
      </c>
      <c r="E34" s="90">
        <f>'MONTHLY STATS'!$K$51*0.21</f>
        <v>4108133.8956</v>
      </c>
      <c r="F34" s="90">
        <f>'MONTHLY STATS'!$K$64*0.21</f>
        <v>3070256.5656</v>
      </c>
      <c r="G34" s="90">
        <f>'MONTHLY STATS'!$K$74*0.21</f>
        <v>128935.9806</v>
      </c>
      <c r="H34" s="90">
        <f>'MONTHLY STATS'!$K$87*0.21</f>
        <v>1349717.1177</v>
      </c>
      <c r="I34" s="90">
        <f>'MONTHLY STATS'!$K$100*0.21</f>
        <v>2790756.2402999997</v>
      </c>
      <c r="J34" s="90">
        <f>'MONTHLY STATS'!$K$113*0.21</f>
        <v>3644465.0277</v>
      </c>
      <c r="K34" s="90">
        <f>'MONTHLY STATS'!$K$126*0.21</f>
        <v>3219783.1616999996</v>
      </c>
      <c r="L34" s="90">
        <f>'MONTHLY STATS'!$K$139*0.21</f>
        <v>632587.725</v>
      </c>
      <c r="M34" s="90">
        <f>'MONTHLY STATS'!$K$152*0.21</f>
        <v>4581464.0277</v>
      </c>
      <c r="N34" s="90">
        <f>'MONTHLY STATS'!$K$165*0.21</f>
        <v>692349.5523</v>
      </c>
      <c r="O34" s="91">
        <f t="shared" si="2"/>
        <v>28721037.090899996</v>
      </c>
      <c r="P34" s="84"/>
    </row>
    <row r="35" spans="1:16" ht="15.75">
      <c r="A35" s="89">
        <f>DATE(2012,11,1)</f>
        <v>41214</v>
      </c>
      <c r="B35" s="90">
        <f>'MONTHLY STATS'!$K$13*0.21</f>
        <v>2532326.6492999997</v>
      </c>
      <c r="C35" s="90">
        <f>'MONTHLY STATS'!$K$26*0.21</f>
        <v>1355275.5783</v>
      </c>
      <c r="D35" s="90">
        <f>'MONTHLY STATS'!$K$39*0.21</f>
        <v>534338.0007</v>
      </c>
      <c r="E35" s="90">
        <f>'MONTHLY STATS'!$K$52*0.21</f>
        <v>3693242.9876999995</v>
      </c>
      <c r="F35" s="90">
        <f>'MONTHLY STATS'!$K$65*0.21</f>
        <v>3192818.5842</v>
      </c>
      <c r="G35" s="90">
        <f>'MONTHLY STATS'!$K$75*0.21</f>
        <v>1131529.7133</v>
      </c>
      <c r="H35" s="90">
        <f>'MONTHLY STATS'!$K$88*0.21</f>
        <v>1333129.4424</v>
      </c>
      <c r="I35" s="90">
        <f>'MONTHLY STATS'!$K$101*0.21</f>
        <v>2728346.292</v>
      </c>
      <c r="J35" s="90">
        <f>'MONTHLY STATS'!$K$114*0.21</f>
        <v>3824812.9164</v>
      </c>
      <c r="K35" s="90">
        <f>'MONTHLY STATS'!$K$127*0.21</f>
        <v>3459029.0973</v>
      </c>
      <c r="L35" s="90">
        <f>'MONTHLY STATS'!$K$140*0.21</f>
        <v>665658.5418</v>
      </c>
      <c r="M35" s="90">
        <f>'MONTHLY STATS'!$K$153*0.21</f>
        <v>4759813.5585</v>
      </c>
      <c r="N35" s="90">
        <f>'MONTHLY STATS'!$K$166*0.21</f>
        <v>682003.0308</v>
      </c>
      <c r="O35" s="91">
        <f t="shared" si="2"/>
        <v>29892324.392699998</v>
      </c>
      <c r="P35" s="84"/>
    </row>
    <row r="36" spans="1:16" ht="15.75">
      <c r="A36" s="89">
        <f>DATE(2012,12,1)</f>
        <v>41244</v>
      </c>
      <c r="B36" s="90">
        <f>'MONTHLY STATS'!$K$14*0.21</f>
        <v>2683715.5275</v>
      </c>
      <c r="C36" s="90">
        <f>'MONTHLY STATS'!$K$27*0.21</f>
        <v>1429938.2454</v>
      </c>
      <c r="D36" s="90">
        <f>'MONTHLY STATS'!$K$40*0.21</f>
        <v>553096.0197</v>
      </c>
      <c r="E36" s="90">
        <f>'MONTHLY STATS'!$K$53*0.21</f>
        <v>4259917.053</v>
      </c>
      <c r="F36" s="90">
        <f>'MONTHLY STATS'!$K$66*0.21</f>
        <v>3150017.6211</v>
      </c>
      <c r="G36" s="90">
        <f>'MONTHLY STATS'!$K$76*0.21</f>
        <v>1150981.8284999998</v>
      </c>
      <c r="H36" s="90">
        <f>'MONTHLY STATS'!$K$89*0.21</f>
        <v>1361497.515</v>
      </c>
      <c r="I36" s="90">
        <f>'MONTHLY STATS'!$K$102*0.21</f>
        <v>2809087.6212</v>
      </c>
      <c r="J36" s="90">
        <f>'MONTHLY STATS'!$K$115*0.21</f>
        <v>3840891.0834</v>
      </c>
      <c r="K36" s="90">
        <f>'MONTHLY STATS'!$K$128*0.21</f>
        <v>3690408.7835999997</v>
      </c>
      <c r="L36" s="90">
        <f>'MONTHLY STATS'!$K$141*0.21</f>
        <v>663244.1928</v>
      </c>
      <c r="M36" s="90">
        <f>'MONTHLY STATS'!$K$154*0.21</f>
        <v>4921573.6164</v>
      </c>
      <c r="N36" s="90">
        <f>'MONTHLY STATS'!$K$167*0.21</f>
        <v>732659.1699</v>
      </c>
      <c r="O36" s="91">
        <f t="shared" si="2"/>
        <v>31247028.277499996</v>
      </c>
      <c r="P36" s="84"/>
    </row>
    <row r="37" spans="1:16" ht="15.75">
      <c r="A37" s="89">
        <f>DATE(2013,1,1)</f>
        <v>41275</v>
      </c>
      <c r="B37" s="90">
        <f>'MONTHLY STATS'!$K$15*0.21</f>
        <v>2578700.2542</v>
      </c>
      <c r="C37" s="90">
        <f>'MONTHLY STATS'!$K$28*0.21</f>
        <v>1308785.6900999998</v>
      </c>
      <c r="D37" s="90">
        <f>'MONTHLY STATS'!$K$41*0.21</f>
        <v>493289.2524</v>
      </c>
      <c r="E37" s="90">
        <f>'MONTHLY STATS'!$K$54*0.21</f>
        <v>4074799.5834</v>
      </c>
      <c r="F37" s="90">
        <f>'MONTHLY STATS'!$K$67*0.21</f>
        <v>2743655.8233</v>
      </c>
      <c r="G37" s="90">
        <f>'MONTHLY STATS'!$K$77*0.21</f>
        <v>1018387.7486999999</v>
      </c>
      <c r="H37" s="90">
        <f>'MONTHLY STATS'!$K$90*0.21</f>
        <v>1287922.3014</v>
      </c>
      <c r="I37" s="90">
        <f>'MONTHLY STATS'!$K$103*0.21</f>
        <v>2517788.0805</v>
      </c>
      <c r="J37" s="90">
        <f>'MONTHLY STATS'!$K$116*0.21</f>
        <v>3506873.5233</v>
      </c>
      <c r="K37" s="90">
        <f>'MONTHLY STATS'!$K$129*0.21</f>
        <v>3344036.6547</v>
      </c>
      <c r="L37" s="90">
        <f>'MONTHLY STATS'!$K$142*0.21</f>
        <v>630114.9603</v>
      </c>
      <c r="M37" s="90">
        <f>'MONTHLY STATS'!$K$155*0.21</f>
        <v>4367272.816199999</v>
      </c>
      <c r="N37" s="90">
        <f>'MONTHLY STATS'!$K$168*0.21</f>
        <v>665188.419</v>
      </c>
      <c r="O37" s="91">
        <f>SUM(B37:N37)</f>
        <v>28536815.107499998</v>
      </c>
      <c r="P37" s="84"/>
    </row>
    <row r="38" spans="1:16" ht="15.75">
      <c r="A38" s="89">
        <f>DATE(2013,2,1)</f>
        <v>41306</v>
      </c>
      <c r="B38" s="90">
        <f>'MONTHLY STATS'!$K$16*0.21</f>
        <v>2621023.4169</v>
      </c>
      <c r="C38" s="90">
        <f>'MONTHLY STATS'!$K$29*0.21</f>
        <v>1342889.1461999998</v>
      </c>
      <c r="D38" s="90">
        <f>'MONTHLY STATS'!$K$42*0.21</f>
        <v>588716.7384</v>
      </c>
      <c r="E38" s="90">
        <f>'MONTHLY STATS'!$K$55*0.21</f>
        <v>4337488.3209</v>
      </c>
      <c r="F38" s="90">
        <f>'MONTHLY STATS'!$K$68*0.21</f>
        <v>2908511.5878</v>
      </c>
      <c r="G38" s="90">
        <f>'MONTHLY STATS'!$K$78*0.21</f>
        <v>1389944.913</v>
      </c>
      <c r="H38" s="90">
        <f>'MONTHLY STATS'!$K$91*0.21</f>
        <v>1363145.1057</v>
      </c>
      <c r="I38" s="90">
        <f>'MONTHLY STATS'!$K$104*0.21</f>
        <v>2917587.4665</v>
      </c>
      <c r="J38" s="90">
        <f>'MONTHLY STATS'!$K$117*0.21</f>
        <v>3500145.4047</v>
      </c>
      <c r="K38" s="90">
        <f>'MONTHLY STATS'!$K$130*0.21</f>
        <v>3563054.5335000004</v>
      </c>
      <c r="L38" s="90">
        <f>'MONTHLY STATS'!$K$143*0.21</f>
        <v>652439.529</v>
      </c>
      <c r="M38" s="90">
        <f>'MONTHLY STATS'!$K$156*0.21</f>
        <v>4611410.5275</v>
      </c>
      <c r="N38" s="90">
        <f>'MONTHLY STATS'!$K$169*0.21</f>
        <v>696360.672</v>
      </c>
      <c r="O38" s="91">
        <f>SUM(B38:N38)</f>
        <v>30492717.362099998</v>
      </c>
      <c r="P38" s="84"/>
    </row>
    <row r="39" spans="1:16" ht="15.75">
      <c r="A39" s="89">
        <f>DATE(2013,3,1)</f>
        <v>41334</v>
      </c>
      <c r="B39" s="90">
        <f>'MONTHLY STATS'!$K$17*0.21</f>
        <v>3055002.6318</v>
      </c>
      <c r="C39" s="90">
        <f>'MONTHLY STATS'!$K$30*0.21</f>
        <v>1597077.5477999998</v>
      </c>
      <c r="D39" s="90">
        <f>'MONTHLY STATS'!$K$43*0.21</f>
        <v>623075.1219</v>
      </c>
      <c r="E39" s="90">
        <f>'MONTHLY STATS'!$K$56*0.21</f>
        <v>4763401.0011</v>
      </c>
      <c r="F39" s="90">
        <f>'MONTHLY STATS'!$K$69*0.21</f>
        <v>3547957.9442999996</v>
      </c>
      <c r="G39" s="90">
        <f>'MONTHLY STATS'!$K$79*0.21</f>
        <v>1598279.5563</v>
      </c>
      <c r="H39" s="90">
        <f>'MONTHLY STATS'!$K$92*0.21</f>
        <v>1566642.1175999998</v>
      </c>
      <c r="I39" s="90">
        <f>'MONTHLY STATS'!$K$105*0.21</f>
        <v>3141945.8301</v>
      </c>
      <c r="J39" s="90">
        <f>'MONTHLY STATS'!$K$118*0.21</f>
        <v>4166240.652</v>
      </c>
      <c r="K39" s="90">
        <f>'MONTHLY STATS'!$K$131*0.21</f>
        <v>4016612.3844</v>
      </c>
      <c r="L39" s="90">
        <f>'MONTHLY STATS'!$K$144*0.21</f>
        <v>772264.9935</v>
      </c>
      <c r="M39" s="90">
        <f>'MONTHLY STATS'!$K$157*0.21</f>
        <v>5134661.5677000005</v>
      </c>
      <c r="N39" s="90">
        <f>'MONTHLY STATS'!$K$170*0.21</f>
        <v>793010.8724999999</v>
      </c>
      <c r="O39" s="91">
        <f>SUM(B39:N39)</f>
        <v>34776172.221</v>
      </c>
      <c r="P39" s="84"/>
    </row>
    <row r="40" spans="1:16" ht="15.75">
      <c r="A40" s="89">
        <f>DATE(2013,4,1)</f>
        <v>41365</v>
      </c>
      <c r="B40" s="90">
        <f>'MONTHLY STATS'!$K$18*0.21</f>
        <v>2692801.0977</v>
      </c>
      <c r="C40" s="90">
        <f>'MONTHLY STATS'!$K$31*0.21</f>
        <v>1415404.389</v>
      </c>
      <c r="D40" s="90">
        <f>'MONTHLY STATS'!$K$44*0.21</f>
        <v>572166.5271</v>
      </c>
      <c r="E40" s="90">
        <f>'MONTHLY STATS'!$K$57*0.21</f>
        <v>4135636.7450999995</v>
      </c>
      <c r="F40" s="90">
        <f>'MONTHLY STATS'!$K$70*0.21</f>
        <v>3156066.5976</v>
      </c>
      <c r="G40" s="90">
        <f>'MONTHLY STATS'!$K$80*0.21</f>
        <v>1193814.0374999999</v>
      </c>
      <c r="H40" s="90">
        <f>'MONTHLY STATS'!$K$93*0.21</f>
        <v>1436333.8668</v>
      </c>
      <c r="I40" s="90">
        <f>'MONTHLY STATS'!$K$106*0.21</f>
        <v>2719630.6577999997</v>
      </c>
      <c r="J40" s="90">
        <f>'MONTHLY STATS'!$K$119*0.21</f>
        <v>3688653.1625999995</v>
      </c>
      <c r="K40" s="90">
        <f>'MONTHLY STATS'!$K$132*0.21</f>
        <v>3575256.9027</v>
      </c>
      <c r="L40" s="90">
        <f>'MONTHLY STATS'!$K$145*0.21</f>
        <v>688443.5354999999</v>
      </c>
      <c r="M40" s="90">
        <f>'MONTHLY STATS'!$K$158*0.21</f>
        <v>4508134.7556</v>
      </c>
      <c r="N40" s="90">
        <f>'MONTHLY STATS'!$K$171*0.21</f>
        <v>714878.2745999999</v>
      </c>
      <c r="O40" s="91">
        <f>SUM(B40:N40)</f>
        <v>30497220.549599998</v>
      </c>
      <c r="P40" s="84"/>
    </row>
    <row r="41" spans="1:16" ht="15.7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4"/>
    </row>
    <row r="42" spans="1:16" ht="15.7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4"/>
    </row>
    <row r="43" spans="1:16" ht="15.7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4"/>
    </row>
    <row r="44" spans="1:16" ht="15.75">
      <c r="A44" s="92" t="s">
        <v>29</v>
      </c>
      <c r="B44" s="91">
        <f aca="true" t="shared" si="3" ref="B44:O44">SUM(B31:B42)</f>
        <v>26756848.5765</v>
      </c>
      <c r="C44" s="91">
        <f t="shared" si="3"/>
        <v>14412350.3307</v>
      </c>
      <c r="D44" s="91">
        <f t="shared" si="3"/>
        <v>5847327.950099999</v>
      </c>
      <c r="E44" s="91">
        <f t="shared" si="3"/>
        <v>43005707.8941</v>
      </c>
      <c r="F44" s="91">
        <f t="shared" si="3"/>
        <v>31510926.503700003</v>
      </c>
      <c r="G44" s="91">
        <f t="shared" si="3"/>
        <v>7611873.777899999</v>
      </c>
      <c r="H44" s="91">
        <f t="shared" si="3"/>
        <v>13880503.5726</v>
      </c>
      <c r="I44" s="91">
        <f>SUM(I31:I42)</f>
        <v>28207312.513799995</v>
      </c>
      <c r="J44" s="91">
        <f t="shared" si="3"/>
        <v>37535537.9973</v>
      </c>
      <c r="K44" s="91">
        <f>SUM(K31:K42)</f>
        <v>36015160.4274</v>
      </c>
      <c r="L44" s="91">
        <f t="shared" si="3"/>
        <v>6743338.6839</v>
      </c>
      <c r="M44" s="91">
        <f t="shared" si="3"/>
        <v>47564177.831099994</v>
      </c>
      <c r="N44" s="91">
        <f t="shared" si="3"/>
        <v>7090593.018599999</v>
      </c>
      <c r="O44" s="91">
        <f t="shared" si="3"/>
        <v>306181659.0777</v>
      </c>
      <c r="P44" s="84"/>
    </row>
    <row r="45" spans="1:16" ht="16.5" thickBot="1">
      <c r="A45" s="93"/>
      <c r="B45" s="91"/>
      <c r="C45" s="91"/>
      <c r="D45" s="91"/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91"/>
      <c r="P45" s="84"/>
    </row>
    <row r="46" spans="1:15" ht="15.75" thickTop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>
      <c r="A47" s="280" t="s">
        <v>68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</row>
    <row r="48" spans="1:15" ht="15.75">
      <c r="A48" s="260" t="s">
        <v>69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ht="15.75">
      <c r="A49" s="260" t="s">
        <v>71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</row>
    <row r="50" spans="1:9" ht="15.75">
      <c r="A50" s="116" t="s">
        <v>31</v>
      </c>
      <c r="B50" s="99"/>
      <c r="C50" s="99"/>
      <c r="D50" s="99"/>
      <c r="E50" s="99"/>
      <c r="F50" s="99"/>
      <c r="G50" s="99"/>
      <c r="H50" s="99"/>
      <c r="I50" s="99"/>
    </row>
    <row r="51" spans="1:9" ht="15.75">
      <c r="A51" s="116"/>
      <c r="B51" s="99"/>
      <c r="C51" s="99"/>
      <c r="D51" s="99"/>
      <c r="E51" s="99"/>
      <c r="F51" s="99"/>
      <c r="G51" s="99"/>
      <c r="H51" s="99"/>
      <c r="I51" s="99"/>
    </row>
    <row r="52" ht="15.75">
      <c r="A52" s="73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3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9" customWidth="1"/>
    <col min="2" max="2" width="9.6640625" style="119" customWidth="1"/>
    <col min="3" max="3" width="16.6640625" style="213" customWidth="1"/>
    <col min="4" max="5" width="15.6640625" style="213" customWidth="1"/>
    <col min="6" max="6" width="9.6640625" style="119" customWidth="1"/>
    <col min="7" max="7" width="10.5546875" style="225" customWidth="1"/>
    <col min="8" max="16384" width="9.6640625" style="119" customWidth="1"/>
  </cols>
  <sheetData>
    <row r="1" spans="1:7" ht="18">
      <c r="A1" s="117" t="s">
        <v>0</v>
      </c>
      <c r="B1" s="118"/>
      <c r="C1" s="204"/>
      <c r="D1" s="204"/>
      <c r="E1" s="204"/>
      <c r="F1" s="118"/>
      <c r="G1" s="214"/>
    </row>
    <row r="2" spans="1:7" ht="18" customHeight="1">
      <c r="A2" s="120" t="s">
        <v>32</v>
      </c>
      <c r="B2" s="118"/>
      <c r="C2" s="204"/>
      <c r="D2" s="204"/>
      <c r="E2" s="204"/>
      <c r="F2" s="118"/>
      <c r="G2" s="214"/>
    </row>
    <row r="3" spans="1:7" ht="18" customHeight="1">
      <c r="A3" s="117" t="s">
        <v>79</v>
      </c>
      <c r="B3" s="118"/>
      <c r="C3" s="204"/>
      <c r="D3" s="204"/>
      <c r="E3" s="204"/>
      <c r="F3" s="118"/>
      <c r="G3" s="214"/>
    </row>
    <row r="4" spans="1:7" ht="15">
      <c r="A4" s="121" t="s">
        <v>80</v>
      </c>
      <c r="B4" s="118"/>
      <c r="C4" s="204"/>
      <c r="D4" s="204"/>
      <c r="E4" s="204"/>
      <c r="F4" s="118"/>
      <c r="G4" s="214"/>
    </row>
    <row r="5" spans="1:7" ht="15.75">
      <c r="A5" s="118"/>
      <c r="B5" s="118"/>
      <c r="C5" s="204"/>
      <c r="D5" s="204"/>
      <c r="E5" s="204"/>
      <c r="F5" s="118"/>
      <c r="G5" s="215" t="s">
        <v>1</v>
      </c>
    </row>
    <row r="6" spans="1:8" ht="16.5" thickTop="1">
      <c r="A6" s="122"/>
      <c r="B6" s="123" t="s">
        <v>2</v>
      </c>
      <c r="C6" s="205" t="s">
        <v>33</v>
      </c>
      <c r="D6" s="205" t="s">
        <v>33</v>
      </c>
      <c r="E6" s="205" t="s">
        <v>3</v>
      </c>
      <c r="F6" s="124"/>
      <c r="G6" s="216" t="s">
        <v>34</v>
      </c>
      <c r="H6" s="125"/>
    </row>
    <row r="7" spans="1:8" ht="16.5" thickBot="1">
      <c r="A7" s="126" t="s">
        <v>5</v>
      </c>
      <c r="B7" s="127" t="s">
        <v>6</v>
      </c>
      <c r="C7" s="268" t="s">
        <v>35</v>
      </c>
      <c r="D7" s="206" t="s">
        <v>36</v>
      </c>
      <c r="E7" s="206" t="s">
        <v>36</v>
      </c>
      <c r="F7" s="128" t="s">
        <v>8</v>
      </c>
      <c r="G7" s="217" t="s">
        <v>37</v>
      </c>
      <c r="H7" s="125"/>
    </row>
    <row r="8" spans="1:8" ht="16.5" thickTop="1">
      <c r="A8" s="129"/>
      <c r="B8" s="130"/>
      <c r="C8" s="207"/>
      <c r="D8" s="207"/>
      <c r="E8" s="207"/>
      <c r="F8" s="131"/>
      <c r="G8" s="218"/>
      <c r="H8" s="125"/>
    </row>
    <row r="9" spans="1:8" ht="15.75">
      <c r="A9" s="132" t="s">
        <v>38</v>
      </c>
      <c r="B9" s="133">
        <f>DATE(2012,7,1)</f>
        <v>41091</v>
      </c>
      <c r="C9" s="208">
        <v>5804471</v>
      </c>
      <c r="D9" s="208">
        <v>1142785.75</v>
      </c>
      <c r="E9" s="208">
        <v>1221664.43</v>
      </c>
      <c r="F9" s="134">
        <f aca="true" t="shared" si="0" ref="F9:F18">(+D9-E9)/E9</f>
        <v>-0.06456656841519069</v>
      </c>
      <c r="G9" s="219">
        <f aca="true" t="shared" si="1" ref="G9:G18">D9/C9</f>
        <v>0.19688025833878747</v>
      </c>
      <c r="H9" s="125"/>
    </row>
    <row r="10" spans="1:8" ht="15.75">
      <c r="A10" s="132"/>
      <c r="B10" s="133">
        <f>DATE(2012,8,1)</f>
        <v>41122</v>
      </c>
      <c r="C10" s="208">
        <v>5752839</v>
      </c>
      <c r="D10" s="208">
        <v>1154857.33</v>
      </c>
      <c r="E10" s="208">
        <v>1600541.66</v>
      </c>
      <c r="F10" s="134">
        <f t="shared" si="0"/>
        <v>-0.2784584376266719</v>
      </c>
      <c r="G10" s="219">
        <f t="shared" si="1"/>
        <v>0.20074563706719414</v>
      </c>
      <c r="H10" s="125"/>
    </row>
    <row r="11" spans="1:8" ht="15.75">
      <c r="A11" s="132"/>
      <c r="B11" s="133">
        <f>DATE(2012,9,1)</f>
        <v>41153</v>
      </c>
      <c r="C11" s="208">
        <v>5339212</v>
      </c>
      <c r="D11" s="208">
        <v>1180795.38</v>
      </c>
      <c r="E11" s="208">
        <v>1437984.28</v>
      </c>
      <c r="F11" s="134">
        <f t="shared" si="0"/>
        <v>-0.17885376326923416</v>
      </c>
      <c r="G11" s="219">
        <f t="shared" si="1"/>
        <v>0.22115536524865465</v>
      </c>
      <c r="H11" s="125"/>
    </row>
    <row r="12" spans="1:8" ht="15.75">
      <c r="A12" s="132"/>
      <c r="B12" s="133">
        <f>DATE(2012,10,1)</f>
        <v>41183</v>
      </c>
      <c r="C12" s="208">
        <v>5325430</v>
      </c>
      <c r="D12" s="208">
        <v>1135654.05</v>
      </c>
      <c r="E12" s="208">
        <v>1361593.98</v>
      </c>
      <c r="F12" s="134">
        <f t="shared" si="0"/>
        <v>-0.16593781503058638</v>
      </c>
      <c r="G12" s="219">
        <f t="shared" si="1"/>
        <v>0.21325114591685554</v>
      </c>
      <c r="H12" s="125"/>
    </row>
    <row r="13" spans="1:8" ht="15.75">
      <c r="A13" s="132"/>
      <c r="B13" s="133">
        <f>DATE(2012,11,1)</f>
        <v>41214</v>
      </c>
      <c r="C13" s="208">
        <v>5106270</v>
      </c>
      <c r="D13" s="208">
        <v>846980.18</v>
      </c>
      <c r="E13" s="208">
        <v>1478957.48</v>
      </c>
      <c r="F13" s="134">
        <f t="shared" si="0"/>
        <v>-0.4273126905582167</v>
      </c>
      <c r="G13" s="219">
        <f t="shared" si="1"/>
        <v>0.16587062180417408</v>
      </c>
      <c r="H13" s="125"/>
    </row>
    <row r="14" spans="1:8" ht="15.75">
      <c r="A14" s="132"/>
      <c r="B14" s="133">
        <f>DATE(2012,12,1)</f>
        <v>41244</v>
      </c>
      <c r="C14" s="208">
        <v>5748562</v>
      </c>
      <c r="D14" s="208">
        <v>1043465.15</v>
      </c>
      <c r="E14" s="208">
        <v>1495584.44</v>
      </c>
      <c r="F14" s="134">
        <f t="shared" si="0"/>
        <v>-0.3023027506223587</v>
      </c>
      <c r="G14" s="219">
        <f t="shared" si="1"/>
        <v>0.18151759518293445</v>
      </c>
      <c r="H14" s="125"/>
    </row>
    <row r="15" spans="1:8" ht="15.75">
      <c r="A15" s="132"/>
      <c r="B15" s="133">
        <f>DATE(2013,1,1)</f>
        <v>41275</v>
      </c>
      <c r="C15" s="208">
        <v>5676087</v>
      </c>
      <c r="D15" s="208">
        <v>1139434.47</v>
      </c>
      <c r="E15" s="208">
        <v>1449710.31</v>
      </c>
      <c r="F15" s="134">
        <f t="shared" si="0"/>
        <v>-0.2140260973932096</v>
      </c>
      <c r="G15" s="219">
        <f t="shared" si="1"/>
        <v>0.2007429537285105</v>
      </c>
      <c r="H15" s="125"/>
    </row>
    <row r="16" spans="1:8" ht="15.75">
      <c r="A16" s="132"/>
      <c r="B16" s="133">
        <f>DATE(2013,2,1)</f>
        <v>41306</v>
      </c>
      <c r="C16" s="208">
        <v>5757462</v>
      </c>
      <c r="D16" s="208">
        <v>1316510.37</v>
      </c>
      <c r="E16" s="208">
        <v>1338314.2</v>
      </c>
      <c r="F16" s="134">
        <f t="shared" si="0"/>
        <v>-0.016292011248180617</v>
      </c>
      <c r="G16" s="219">
        <f t="shared" si="1"/>
        <v>0.2286615821346281</v>
      </c>
      <c r="H16" s="125"/>
    </row>
    <row r="17" spans="1:8" ht="15.75">
      <c r="A17" s="132"/>
      <c r="B17" s="133">
        <f>DATE(2013,3,1)</f>
        <v>41334</v>
      </c>
      <c r="C17" s="208">
        <v>6272146</v>
      </c>
      <c r="D17" s="208">
        <v>1370747.52</v>
      </c>
      <c r="E17" s="208">
        <v>1331211.67</v>
      </c>
      <c r="F17" s="134">
        <f t="shared" si="0"/>
        <v>0.029699146192130432</v>
      </c>
      <c r="G17" s="219">
        <f t="shared" si="1"/>
        <v>0.21854521881346511</v>
      </c>
      <c r="H17" s="125"/>
    </row>
    <row r="18" spans="1:8" ht="15.75">
      <c r="A18" s="132"/>
      <c r="B18" s="133">
        <f>DATE(2013,4,1)</f>
        <v>41365</v>
      </c>
      <c r="C18" s="208">
        <v>5699291</v>
      </c>
      <c r="D18" s="208">
        <v>1189346.15</v>
      </c>
      <c r="E18" s="208">
        <v>1272692.04</v>
      </c>
      <c r="F18" s="134">
        <f t="shared" si="0"/>
        <v>-0.0654878693199025</v>
      </c>
      <c r="G18" s="219">
        <f t="shared" si="1"/>
        <v>0.20868317655652255</v>
      </c>
      <c r="H18" s="125"/>
    </row>
    <row r="19" spans="1:8" ht="15.75" thickBot="1">
      <c r="A19" s="135"/>
      <c r="B19" s="136"/>
      <c r="C19" s="208"/>
      <c r="D19" s="208"/>
      <c r="E19" s="208"/>
      <c r="F19" s="134"/>
      <c r="G19" s="219"/>
      <c r="H19" s="125"/>
    </row>
    <row r="20" spans="1:8" ht="17.25" thickBot="1" thickTop="1">
      <c r="A20" s="137" t="s">
        <v>14</v>
      </c>
      <c r="B20" s="138"/>
      <c r="C20" s="205">
        <f>SUM(C9:C19)</f>
        <v>56481770</v>
      </c>
      <c r="D20" s="205">
        <f>SUM(D9:D19)</f>
        <v>11520576.35</v>
      </c>
      <c r="E20" s="205">
        <f>SUM(E9:E19)</f>
        <v>13988254.489999998</v>
      </c>
      <c r="F20" s="139">
        <f>(+D20-E20)/E20</f>
        <v>-0.17641072671104935</v>
      </c>
      <c r="G20" s="216">
        <f>D20/C20</f>
        <v>0.2039698180492573</v>
      </c>
      <c r="H20" s="125"/>
    </row>
    <row r="21" spans="1:8" ht="16.5" thickTop="1">
      <c r="A21" s="140"/>
      <c r="B21" s="141"/>
      <c r="C21" s="209"/>
      <c r="D21" s="209"/>
      <c r="E21" s="209"/>
      <c r="F21" s="142"/>
      <c r="G21" s="220"/>
      <c r="H21" s="125"/>
    </row>
    <row r="22" spans="1:8" ht="15.75">
      <c r="A22" s="19" t="s">
        <v>15</v>
      </c>
      <c r="B22" s="133">
        <f>DATE(2012,7,1)</f>
        <v>41091</v>
      </c>
      <c r="C22" s="208">
        <v>2492740</v>
      </c>
      <c r="D22" s="208">
        <v>472394.5</v>
      </c>
      <c r="E22" s="208">
        <v>412315.5</v>
      </c>
      <c r="F22" s="134">
        <f aca="true" t="shared" si="2" ref="F22:F31">(+D22-E22)/E22</f>
        <v>0.1457112332667581</v>
      </c>
      <c r="G22" s="219">
        <f aca="true" t="shared" si="3" ref="G22:G31">D22/C22</f>
        <v>0.18950813161420765</v>
      </c>
      <c r="H22" s="125"/>
    </row>
    <row r="23" spans="1:8" ht="15.75">
      <c r="A23" s="19"/>
      <c r="B23" s="133">
        <f>DATE(2012,8,1)</f>
        <v>41122</v>
      </c>
      <c r="C23" s="208">
        <v>2438395</v>
      </c>
      <c r="D23" s="208">
        <v>521375</v>
      </c>
      <c r="E23" s="208">
        <v>566530</v>
      </c>
      <c r="F23" s="134">
        <f t="shared" si="2"/>
        <v>-0.07970451697174025</v>
      </c>
      <c r="G23" s="219">
        <f t="shared" si="3"/>
        <v>0.21381892597384755</v>
      </c>
      <c r="H23" s="125"/>
    </row>
    <row r="24" spans="1:8" ht="15.75">
      <c r="A24" s="19"/>
      <c r="B24" s="133">
        <f>DATE(2012,9,1)</f>
        <v>41153</v>
      </c>
      <c r="C24" s="208">
        <v>2391518</v>
      </c>
      <c r="D24" s="208">
        <v>467780.5</v>
      </c>
      <c r="E24" s="208">
        <v>488637</v>
      </c>
      <c r="F24" s="134">
        <f t="shared" si="2"/>
        <v>-0.0426830141802606</v>
      </c>
      <c r="G24" s="219">
        <f t="shared" si="3"/>
        <v>0.19559982404481172</v>
      </c>
      <c r="H24" s="125"/>
    </row>
    <row r="25" spans="1:8" ht="15.75">
      <c r="A25" s="19"/>
      <c r="B25" s="133">
        <f>DATE(2012,10,1)</f>
        <v>41183</v>
      </c>
      <c r="C25" s="208">
        <v>2286757.23</v>
      </c>
      <c r="D25" s="208">
        <v>544397</v>
      </c>
      <c r="E25" s="208">
        <v>320525</v>
      </c>
      <c r="F25" s="134">
        <f t="shared" si="2"/>
        <v>0.6984540987442477</v>
      </c>
      <c r="G25" s="219">
        <f t="shared" si="3"/>
        <v>0.238065061239579</v>
      </c>
      <c r="H25" s="125"/>
    </row>
    <row r="26" spans="1:8" ht="15.75">
      <c r="A26" s="19"/>
      <c r="B26" s="133">
        <f>DATE(2012,11,1)</f>
        <v>41214</v>
      </c>
      <c r="C26" s="208">
        <v>2496760</v>
      </c>
      <c r="D26" s="208">
        <v>516150.5</v>
      </c>
      <c r="E26" s="208">
        <v>560277</v>
      </c>
      <c r="F26" s="134">
        <f t="shared" si="2"/>
        <v>-0.07875836416629631</v>
      </c>
      <c r="G26" s="219">
        <f t="shared" si="3"/>
        <v>0.2067281196430574</v>
      </c>
      <c r="H26" s="125"/>
    </row>
    <row r="27" spans="1:8" ht="15.75">
      <c r="A27" s="19"/>
      <c r="B27" s="133">
        <f>DATE(2012,12,1)</f>
        <v>41244</v>
      </c>
      <c r="C27" s="208">
        <v>2542568</v>
      </c>
      <c r="D27" s="208">
        <v>687182</v>
      </c>
      <c r="E27" s="208">
        <v>522133.5</v>
      </c>
      <c r="F27" s="134">
        <f t="shared" si="2"/>
        <v>0.3161040232047934</v>
      </c>
      <c r="G27" s="219">
        <f t="shared" si="3"/>
        <v>0.270270844280271</v>
      </c>
      <c r="H27" s="125"/>
    </row>
    <row r="28" spans="1:8" ht="15.75">
      <c r="A28" s="19"/>
      <c r="B28" s="133">
        <f>DATE(2013,1,1)</f>
        <v>41275</v>
      </c>
      <c r="C28" s="208">
        <v>2406764</v>
      </c>
      <c r="D28" s="208">
        <v>544813</v>
      </c>
      <c r="E28" s="208">
        <v>564888</v>
      </c>
      <c r="F28" s="134">
        <f t="shared" si="2"/>
        <v>-0.03553801815581142</v>
      </c>
      <c r="G28" s="219">
        <f t="shared" si="3"/>
        <v>0.2263674377712148</v>
      </c>
      <c r="H28" s="125"/>
    </row>
    <row r="29" spans="1:8" ht="15.75">
      <c r="A29" s="19"/>
      <c r="B29" s="133">
        <f>DATE(2013,2,1)</f>
        <v>41306</v>
      </c>
      <c r="C29" s="208">
        <v>2364226</v>
      </c>
      <c r="D29" s="208">
        <v>464479</v>
      </c>
      <c r="E29" s="208">
        <v>588087</v>
      </c>
      <c r="F29" s="134">
        <f t="shared" si="2"/>
        <v>-0.2101865880388446</v>
      </c>
      <c r="G29" s="219">
        <f t="shared" si="3"/>
        <v>0.19646133660656806</v>
      </c>
      <c r="H29" s="125"/>
    </row>
    <row r="30" spans="1:8" ht="15.75">
      <c r="A30" s="19"/>
      <c r="B30" s="133">
        <f>DATE(2013,3,1)</f>
        <v>41334</v>
      </c>
      <c r="C30" s="208">
        <v>2952756</v>
      </c>
      <c r="D30" s="208">
        <v>606922</v>
      </c>
      <c r="E30" s="208">
        <v>540683</v>
      </c>
      <c r="F30" s="134">
        <f t="shared" si="2"/>
        <v>0.12250986252573134</v>
      </c>
      <c r="G30" s="219">
        <f t="shared" si="3"/>
        <v>0.20554424408925084</v>
      </c>
      <c r="H30" s="125"/>
    </row>
    <row r="31" spans="1:8" ht="15.75">
      <c r="A31" s="19"/>
      <c r="B31" s="133">
        <f>DATE(2013,4,1)</f>
        <v>41365</v>
      </c>
      <c r="C31" s="208">
        <v>2489074</v>
      </c>
      <c r="D31" s="208">
        <v>514561.5</v>
      </c>
      <c r="E31" s="208">
        <v>477236</v>
      </c>
      <c r="F31" s="134">
        <f t="shared" si="2"/>
        <v>0.07821182811020125</v>
      </c>
      <c r="G31" s="219">
        <f t="shared" si="3"/>
        <v>0.2067280844201498</v>
      </c>
      <c r="H31" s="125"/>
    </row>
    <row r="32" spans="1:8" ht="15.75" thickBot="1">
      <c r="A32" s="135"/>
      <c r="B32" s="133"/>
      <c r="C32" s="208"/>
      <c r="D32" s="208"/>
      <c r="E32" s="208"/>
      <c r="F32" s="134"/>
      <c r="G32" s="219"/>
      <c r="H32" s="125"/>
    </row>
    <row r="33" spans="1:8" ht="17.25" thickBot="1" thickTop="1">
      <c r="A33" s="137" t="s">
        <v>14</v>
      </c>
      <c r="B33" s="138"/>
      <c r="C33" s="205">
        <f>SUM(C22:C32)</f>
        <v>24861558.23</v>
      </c>
      <c r="D33" s="205">
        <f>SUM(D22:D32)</f>
        <v>5340055</v>
      </c>
      <c r="E33" s="205">
        <f>SUM(E22:E32)</f>
        <v>5041312</v>
      </c>
      <c r="F33" s="139">
        <f>(+D33-E33)/E33</f>
        <v>0.05925897861509068</v>
      </c>
      <c r="G33" s="216">
        <f>D33/C33</f>
        <v>0.21479164542294257</v>
      </c>
      <c r="H33" s="125"/>
    </row>
    <row r="34" spans="1:8" ht="16.5" thickTop="1">
      <c r="A34" s="259"/>
      <c r="B34" s="141"/>
      <c r="C34" s="209"/>
      <c r="D34" s="209"/>
      <c r="E34" s="209"/>
      <c r="F34" s="142"/>
      <c r="G34" s="223"/>
      <c r="H34" s="125"/>
    </row>
    <row r="35" spans="1:8" ht="15.75">
      <c r="A35" s="19" t="s">
        <v>56</v>
      </c>
      <c r="B35" s="133">
        <f>DATE(2012,7,1)</f>
        <v>41091</v>
      </c>
      <c r="C35" s="208">
        <v>1249252</v>
      </c>
      <c r="D35" s="208">
        <v>332537.5</v>
      </c>
      <c r="E35" s="208">
        <v>335184</v>
      </c>
      <c r="F35" s="134">
        <f aca="true" t="shared" si="4" ref="F35:F44">(+D35-E35)/E35</f>
        <v>-0.007895663277483412</v>
      </c>
      <c r="G35" s="219">
        <f aca="true" t="shared" si="5" ref="G35:G44">D35/C35</f>
        <v>0.2661892876697416</v>
      </c>
      <c r="H35" s="125"/>
    </row>
    <row r="36" spans="1:8" ht="15.75">
      <c r="A36" s="19"/>
      <c r="B36" s="133">
        <f>DATE(2012,8,1)</f>
        <v>41122</v>
      </c>
      <c r="C36" s="208">
        <v>1247931</v>
      </c>
      <c r="D36" s="208">
        <v>373230</v>
      </c>
      <c r="E36" s="208">
        <v>321792</v>
      </c>
      <c r="F36" s="134">
        <f t="shared" si="4"/>
        <v>0.15984859785202865</v>
      </c>
      <c r="G36" s="219">
        <f t="shared" si="5"/>
        <v>0.29907903561975785</v>
      </c>
      <c r="H36" s="125"/>
    </row>
    <row r="37" spans="1:8" ht="15.75">
      <c r="A37" s="19"/>
      <c r="B37" s="133">
        <f>DATE(2012,9,1)</f>
        <v>41153</v>
      </c>
      <c r="C37" s="208">
        <v>1101350</v>
      </c>
      <c r="D37" s="208">
        <v>280061.5</v>
      </c>
      <c r="E37" s="208">
        <v>243135</v>
      </c>
      <c r="F37" s="134">
        <f t="shared" si="4"/>
        <v>0.15187652950007197</v>
      </c>
      <c r="G37" s="219">
        <f t="shared" si="5"/>
        <v>0.2542892813365415</v>
      </c>
      <c r="H37" s="125"/>
    </row>
    <row r="38" spans="1:8" ht="15.75">
      <c r="A38" s="19"/>
      <c r="B38" s="133">
        <f>DATE(2012,10,1)</f>
        <v>41183</v>
      </c>
      <c r="C38" s="208">
        <v>1118875</v>
      </c>
      <c r="D38" s="208">
        <v>272105</v>
      </c>
      <c r="E38" s="208">
        <v>311428.5</v>
      </c>
      <c r="F38" s="134">
        <f t="shared" si="4"/>
        <v>-0.1262681482266395</v>
      </c>
      <c r="G38" s="219">
        <f t="shared" si="5"/>
        <v>0.2431951737236063</v>
      </c>
      <c r="H38" s="125"/>
    </row>
    <row r="39" spans="1:8" ht="15.75">
      <c r="A39" s="19"/>
      <c r="B39" s="133">
        <f>DATE(2012,11,1)</f>
        <v>41214</v>
      </c>
      <c r="C39" s="208">
        <v>1027361</v>
      </c>
      <c r="D39" s="208">
        <v>282071.5</v>
      </c>
      <c r="E39" s="208">
        <v>249421.5</v>
      </c>
      <c r="F39" s="134">
        <f t="shared" si="4"/>
        <v>0.1309029093321947</v>
      </c>
      <c r="G39" s="219">
        <f t="shared" si="5"/>
        <v>0.27455928344564373</v>
      </c>
      <c r="H39" s="125"/>
    </row>
    <row r="40" spans="1:8" ht="15.75">
      <c r="A40" s="19"/>
      <c r="B40" s="133">
        <f>DATE(2012,12,1)</f>
        <v>41244</v>
      </c>
      <c r="C40" s="208">
        <v>1029352</v>
      </c>
      <c r="D40" s="208">
        <v>244389</v>
      </c>
      <c r="E40" s="208">
        <v>322331</v>
      </c>
      <c r="F40" s="134">
        <f t="shared" si="4"/>
        <v>-0.24180733469632149</v>
      </c>
      <c r="G40" s="219">
        <f t="shared" si="5"/>
        <v>0.2374202410837109</v>
      </c>
      <c r="H40" s="125"/>
    </row>
    <row r="41" spans="1:8" ht="15.75">
      <c r="A41" s="19"/>
      <c r="B41" s="133">
        <f>DATE(2013,1,1)</f>
        <v>41275</v>
      </c>
      <c r="C41" s="208">
        <v>958890</v>
      </c>
      <c r="D41" s="208">
        <v>289033.5</v>
      </c>
      <c r="E41" s="208">
        <v>224101.5</v>
      </c>
      <c r="F41" s="134">
        <f t="shared" si="4"/>
        <v>0.28974370988146</v>
      </c>
      <c r="G41" s="219">
        <f t="shared" si="5"/>
        <v>0.3014250852548259</v>
      </c>
      <c r="H41" s="125"/>
    </row>
    <row r="42" spans="1:8" ht="15.75">
      <c r="A42" s="19"/>
      <c r="B42" s="133">
        <f>DATE(2013,2,1)</f>
        <v>41306</v>
      </c>
      <c r="C42" s="208">
        <v>1011332</v>
      </c>
      <c r="D42" s="208">
        <v>244647.5</v>
      </c>
      <c r="E42" s="208">
        <v>336285.5</v>
      </c>
      <c r="F42" s="134">
        <f t="shared" si="4"/>
        <v>-0.2725005984498291</v>
      </c>
      <c r="G42" s="219">
        <f t="shared" si="5"/>
        <v>0.2419062187293589</v>
      </c>
      <c r="H42" s="125"/>
    </row>
    <row r="43" spans="1:8" ht="15.75">
      <c r="A43" s="19"/>
      <c r="B43" s="133">
        <f>DATE(2013,3,1)</f>
        <v>41334</v>
      </c>
      <c r="C43" s="208">
        <v>1286876</v>
      </c>
      <c r="D43" s="208">
        <v>319190</v>
      </c>
      <c r="E43" s="208">
        <v>388997</v>
      </c>
      <c r="F43" s="134">
        <f t="shared" si="4"/>
        <v>-0.17945382612205235</v>
      </c>
      <c r="G43" s="219">
        <f t="shared" si="5"/>
        <v>0.24803477568934382</v>
      </c>
      <c r="H43" s="125"/>
    </row>
    <row r="44" spans="1:8" ht="15.75">
      <c r="A44" s="19"/>
      <c r="B44" s="133">
        <f>DATE(2013,4,1)</f>
        <v>41365</v>
      </c>
      <c r="C44" s="208">
        <v>1135910</v>
      </c>
      <c r="D44" s="208">
        <v>224887.5</v>
      </c>
      <c r="E44" s="208">
        <v>363064</v>
      </c>
      <c r="F44" s="134">
        <f t="shared" si="4"/>
        <v>-0.3805844148690038</v>
      </c>
      <c r="G44" s="219">
        <f t="shared" si="5"/>
        <v>0.19798003362942487</v>
      </c>
      <c r="H44" s="125"/>
    </row>
    <row r="45" spans="1:8" ht="15.75" thickBot="1">
      <c r="A45" s="135"/>
      <c r="B45" s="133"/>
      <c r="C45" s="208"/>
      <c r="D45" s="208"/>
      <c r="E45" s="208"/>
      <c r="F45" s="134"/>
      <c r="G45" s="219"/>
      <c r="H45" s="125"/>
    </row>
    <row r="46" spans="1:8" ht="17.25" thickBot="1" thickTop="1">
      <c r="A46" s="143" t="s">
        <v>14</v>
      </c>
      <c r="B46" s="144"/>
      <c r="C46" s="210">
        <f>SUM(C35:C45)</f>
        <v>11167129</v>
      </c>
      <c r="D46" s="210">
        <f>SUM(D35:D45)</f>
        <v>2862153</v>
      </c>
      <c r="E46" s="210">
        <f>SUM(E35:E45)</f>
        <v>3095740</v>
      </c>
      <c r="F46" s="145">
        <f>(+D46-E46)/E46</f>
        <v>-0.07545433402029886</v>
      </c>
      <c r="G46" s="221">
        <f>D46/C46</f>
        <v>0.2563015973040161</v>
      </c>
      <c r="H46" s="125"/>
    </row>
    <row r="47" spans="1:8" ht="15.75" thickTop="1">
      <c r="A47" s="135"/>
      <c r="B47" s="136"/>
      <c r="C47" s="208"/>
      <c r="D47" s="208"/>
      <c r="E47" s="208"/>
      <c r="F47" s="134"/>
      <c r="G47" s="222"/>
      <c r="H47" s="125"/>
    </row>
    <row r="48" spans="1:8" ht="15.75">
      <c r="A48" s="181" t="s">
        <v>72</v>
      </c>
      <c r="B48" s="133">
        <f>DATE(2012,7,1)</f>
        <v>41091</v>
      </c>
      <c r="C48" s="208">
        <v>14682218</v>
      </c>
      <c r="D48" s="208">
        <v>3547727.46</v>
      </c>
      <c r="E48" s="208">
        <v>2744734.3</v>
      </c>
      <c r="F48" s="134">
        <f aca="true" t="shared" si="6" ref="F48:F57">(+D48-E48)/E48</f>
        <v>0.292557702215475</v>
      </c>
      <c r="G48" s="219">
        <f aca="true" t="shared" si="7" ref="G48:G57">D48/C48</f>
        <v>0.24163429939536382</v>
      </c>
      <c r="H48" s="125"/>
    </row>
    <row r="49" spans="1:8" ht="15.75">
      <c r="A49" s="146"/>
      <c r="B49" s="133">
        <f>DATE(2012,8,1)</f>
        <v>41122</v>
      </c>
      <c r="C49" s="208">
        <v>14012311</v>
      </c>
      <c r="D49" s="208">
        <v>2611181.79</v>
      </c>
      <c r="E49" s="208">
        <v>2467219.24</v>
      </c>
      <c r="F49" s="134">
        <f t="shared" si="6"/>
        <v>0.05835012457182354</v>
      </c>
      <c r="G49" s="219">
        <f t="shared" si="7"/>
        <v>0.18634911757239758</v>
      </c>
      <c r="H49" s="125"/>
    </row>
    <row r="50" spans="1:8" ht="15.75">
      <c r="A50" s="146"/>
      <c r="B50" s="133">
        <f>DATE(2012,9,1)</f>
        <v>41153</v>
      </c>
      <c r="C50" s="208">
        <v>13659548</v>
      </c>
      <c r="D50" s="208">
        <v>3424627.93</v>
      </c>
      <c r="E50" s="208">
        <v>2629389</v>
      </c>
      <c r="F50" s="134">
        <f t="shared" si="6"/>
        <v>0.3024424799829923</v>
      </c>
      <c r="G50" s="219">
        <f t="shared" si="7"/>
        <v>0.25071312242542726</v>
      </c>
      <c r="H50" s="125"/>
    </row>
    <row r="51" spans="1:8" ht="15.75">
      <c r="A51" s="146"/>
      <c r="B51" s="133">
        <f>DATE(2012,10,1)</f>
        <v>41183</v>
      </c>
      <c r="C51" s="208">
        <v>12955383</v>
      </c>
      <c r="D51" s="208">
        <v>2849439.11</v>
      </c>
      <c r="E51" s="208">
        <v>2901999.71</v>
      </c>
      <c r="F51" s="134">
        <f t="shared" si="6"/>
        <v>-0.018111855703803668</v>
      </c>
      <c r="G51" s="219">
        <f t="shared" si="7"/>
        <v>0.21994248336772443</v>
      </c>
      <c r="H51" s="125"/>
    </row>
    <row r="52" spans="1:8" ht="15.75">
      <c r="A52" s="146"/>
      <c r="B52" s="133">
        <f>DATE(2012,11,1)</f>
        <v>41214</v>
      </c>
      <c r="C52" s="208">
        <f>12537681+346754</f>
        <v>12884435</v>
      </c>
      <c r="D52" s="208">
        <f>2682687.19+89676.5</f>
        <v>2772363.69</v>
      </c>
      <c r="E52" s="208">
        <v>3205031.51</v>
      </c>
      <c r="F52" s="134">
        <f t="shared" si="6"/>
        <v>-0.1349964325311734</v>
      </c>
      <c r="G52" s="219">
        <f t="shared" si="7"/>
        <v>0.21517153759555618</v>
      </c>
      <c r="H52" s="125"/>
    </row>
    <row r="53" spans="1:8" ht="15.75">
      <c r="A53" s="146"/>
      <c r="B53" s="133">
        <f>DATE(2012,12,1)</f>
        <v>41244</v>
      </c>
      <c r="C53" s="208">
        <v>14673663.5</v>
      </c>
      <c r="D53" s="208">
        <v>3660230.9</v>
      </c>
      <c r="E53" s="208">
        <v>3475435.46</v>
      </c>
      <c r="F53" s="134">
        <f t="shared" si="6"/>
        <v>0.053171880797924516</v>
      </c>
      <c r="G53" s="219">
        <f t="shared" si="7"/>
        <v>0.24944219962519926</v>
      </c>
      <c r="H53" s="125"/>
    </row>
    <row r="54" spans="1:8" ht="15.75">
      <c r="A54" s="146"/>
      <c r="B54" s="133">
        <f>DATE(2013,1,1)</f>
        <v>41275</v>
      </c>
      <c r="C54" s="208">
        <v>14233015</v>
      </c>
      <c r="D54" s="208">
        <v>2448142.78</v>
      </c>
      <c r="E54" s="208">
        <v>2348572.9</v>
      </c>
      <c r="F54" s="134">
        <f t="shared" si="6"/>
        <v>0.04239590774465629</v>
      </c>
      <c r="G54" s="219">
        <f t="shared" si="7"/>
        <v>0.17200451063952366</v>
      </c>
      <c r="H54" s="125"/>
    </row>
    <row r="55" spans="1:8" ht="15.75">
      <c r="A55" s="146"/>
      <c r="B55" s="133">
        <f>DATE(2013,2,1)</f>
        <v>41306</v>
      </c>
      <c r="C55" s="208">
        <v>13766953.15</v>
      </c>
      <c r="D55" s="208">
        <v>3354852.8</v>
      </c>
      <c r="E55" s="208">
        <v>3262563.5</v>
      </c>
      <c r="F55" s="134">
        <f t="shared" si="6"/>
        <v>0.028287357472122708</v>
      </c>
      <c r="G55" s="219">
        <f t="shared" si="7"/>
        <v>0.2436888368433214</v>
      </c>
      <c r="H55" s="125"/>
    </row>
    <row r="56" spans="1:8" ht="15.75">
      <c r="A56" s="146"/>
      <c r="B56" s="133">
        <f>DATE(2013,3,1)</f>
        <v>41334</v>
      </c>
      <c r="C56" s="208">
        <v>15305917</v>
      </c>
      <c r="D56" s="208">
        <v>3424882.24</v>
      </c>
      <c r="E56" s="208">
        <v>4090944.88</v>
      </c>
      <c r="F56" s="134">
        <f t="shared" si="6"/>
        <v>-0.1628138876317492</v>
      </c>
      <c r="G56" s="219">
        <f t="shared" si="7"/>
        <v>0.22376197649575652</v>
      </c>
      <c r="H56" s="125"/>
    </row>
    <row r="57" spans="1:8" ht="15.75">
      <c r="A57" s="146"/>
      <c r="B57" s="133">
        <f>DATE(2013,4,1)</f>
        <v>41365</v>
      </c>
      <c r="C57" s="208">
        <v>13384409</v>
      </c>
      <c r="D57" s="208">
        <v>2871116.95</v>
      </c>
      <c r="E57" s="208">
        <v>4172041.52</v>
      </c>
      <c r="F57" s="134">
        <f t="shared" si="6"/>
        <v>-0.3118196604141178</v>
      </c>
      <c r="G57" s="219">
        <f t="shared" si="7"/>
        <v>0.2145120453207908</v>
      </c>
      <c r="H57" s="125"/>
    </row>
    <row r="58" spans="1:8" ht="15" customHeight="1" thickBot="1">
      <c r="A58" s="135"/>
      <c r="B58" s="136"/>
      <c r="C58" s="208"/>
      <c r="D58" s="208"/>
      <c r="E58" s="208"/>
      <c r="F58" s="134"/>
      <c r="G58" s="219"/>
      <c r="H58" s="125"/>
    </row>
    <row r="59" spans="1:8" ht="15" customHeight="1" thickBot="1" thickTop="1">
      <c r="A59" s="143" t="s">
        <v>14</v>
      </c>
      <c r="B59" s="144"/>
      <c r="C59" s="210">
        <f>SUM(C48:C58)</f>
        <v>139557852.65</v>
      </c>
      <c r="D59" s="210">
        <f>SUM(D48:D58)</f>
        <v>30964565.650000002</v>
      </c>
      <c r="E59" s="210">
        <f>SUM(E48:E58)</f>
        <v>31297932.019999996</v>
      </c>
      <c r="F59" s="145">
        <f>(+D59-E59)/E59</f>
        <v>-0.01065138648096513</v>
      </c>
      <c r="G59" s="221">
        <f>D59/C59</f>
        <v>0.22187619730475985</v>
      </c>
      <c r="H59" s="125"/>
    </row>
    <row r="60" spans="1:8" ht="15" customHeight="1" thickTop="1">
      <c r="A60" s="135"/>
      <c r="B60" s="136"/>
      <c r="C60" s="208"/>
      <c r="D60" s="208"/>
      <c r="E60" s="208"/>
      <c r="F60" s="134"/>
      <c r="G60" s="222"/>
      <c r="H60" s="125"/>
    </row>
    <row r="61" spans="1:8" ht="15" customHeight="1">
      <c r="A61" s="132" t="s">
        <v>39</v>
      </c>
      <c r="B61" s="133">
        <f>DATE(2012,7,1)</f>
        <v>41091</v>
      </c>
      <c r="C61" s="208">
        <v>10740518.25</v>
      </c>
      <c r="D61" s="208">
        <v>3113904.75</v>
      </c>
      <c r="E61" s="208">
        <v>2657716.61</v>
      </c>
      <c r="F61" s="134">
        <f aca="true" t="shared" si="8" ref="F61:F70">(+D61-E61)/E61</f>
        <v>0.17164664520044526</v>
      </c>
      <c r="G61" s="219">
        <f aca="true" t="shared" si="9" ref="G61:G70">D61/C61</f>
        <v>0.2899212754468342</v>
      </c>
      <c r="H61" s="125"/>
    </row>
    <row r="62" spans="1:8" ht="15" customHeight="1">
      <c r="A62" s="132"/>
      <c r="B62" s="133">
        <f>DATE(2012,8,1)</f>
        <v>41122</v>
      </c>
      <c r="C62" s="208">
        <v>10509516.5</v>
      </c>
      <c r="D62" s="208">
        <v>2533178.5</v>
      </c>
      <c r="E62" s="208">
        <v>2379235.75</v>
      </c>
      <c r="F62" s="134">
        <f t="shared" si="8"/>
        <v>0.06470260460738285</v>
      </c>
      <c r="G62" s="219">
        <f t="shared" si="9"/>
        <v>0.24103663570060527</v>
      </c>
      <c r="H62" s="125"/>
    </row>
    <row r="63" spans="1:8" ht="15" customHeight="1">
      <c r="A63" s="132"/>
      <c r="B63" s="133">
        <f>DATE(2012,9,1)</f>
        <v>41153</v>
      </c>
      <c r="C63" s="208">
        <v>9818858</v>
      </c>
      <c r="D63" s="208">
        <v>2233142</v>
      </c>
      <c r="E63" s="208">
        <v>2499281.1</v>
      </c>
      <c r="F63" s="134">
        <f t="shared" si="8"/>
        <v>-0.10648626118926761</v>
      </c>
      <c r="G63" s="219">
        <f t="shared" si="9"/>
        <v>0.22743398468538806</v>
      </c>
      <c r="H63" s="125"/>
    </row>
    <row r="64" spans="1:8" ht="15" customHeight="1">
      <c r="A64" s="132"/>
      <c r="B64" s="133">
        <f>DATE(2012,10,1)</f>
        <v>41183</v>
      </c>
      <c r="C64" s="208">
        <v>10046745</v>
      </c>
      <c r="D64" s="208">
        <v>2521904.5</v>
      </c>
      <c r="E64" s="208">
        <v>2129500.01</v>
      </c>
      <c r="F64" s="134">
        <f t="shared" si="8"/>
        <v>0.18427071526522334</v>
      </c>
      <c r="G64" s="219">
        <f t="shared" si="9"/>
        <v>0.25101707070299883</v>
      </c>
      <c r="H64" s="125"/>
    </row>
    <row r="65" spans="1:8" ht="15" customHeight="1">
      <c r="A65" s="132"/>
      <c r="B65" s="133">
        <f>DATE(2012,11,1)</f>
        <v>41214</v>
      </c>
      <c r="C65" s="208">
        <v>10017990.25</v>
      </c>
      <c r="D65" s="208">
        <v>2219090.75</v>
      </c>
      <c r="E65" s="208">
        <v>2536131</v>
      </c>
      <c r="F65" s="134">
        <f t="shared" si="8"/>
        <v>-0.12500941394588844</v>
      </c>
      <c r="G65" s="219">
        <f t="shared" si="9"/>
        <v>0.2215105719433097</v>
      </c>
      <c r="H65" s="125"/>
    </row>
    <row r="66" spans="1:8" ht="15" customHeight="1">
      <c r="A66" s="132"/>
      <c r="B66" s="133">
        <f>DATE(2012,12,1)</f>
        <v>41244</v>
      </c>
      <c r="C66" s="208">
        <v>10595248.25</v>
      </c>
      <c r="D66" s="208">
        <v>2213995.75</v>
      </c>
      <c r="E66" s="208">
        <v>2163427.51</v>
      </c>
      <c r="F66" s="134">
        <f t="shared" si="8"/>
        <v>0.023374131911635083</v>
      </c>
      <c r="G66" s="219">
        <f t="shared" si="9"/>
        <v>0.208961196355168</v>
      </c>
      <c r="H66" s="125"/>
    </row>
    <row r="67" spans="1:8" ht="15" customHeight="1">
      <c r="A67" s="132"/>
      <c r="B67" s="133">
        <f>DATE(2013,1,1)</f>
        <v>41275</v>
      </c>
      <c r="C67" s="208">
        <v>9279884.5</v>
      </c>
      <c r="D67" s="208">
        <v>2145303.5</v>
      </c>
      <c r="E67" s="208">
        <v>2089955</v>
      </c>
      <c r="F67" s="134">
        <f t="shared" si="8"/>
        <v>0.02648310609558579</v>
      </c>
      <c r="G67" s="219">
        <f t="shared" si="9"/>
        <v>0.2311778233877803</v>
      </c>
      <c r="H67" s="125"/>
    </row>
    <row r="68" spans="1:8" ht="15" customHeight="1">
      <c r="A68" s="132"/>
      <c r="B68" s="133">
        <f>DATE(2013,2,1)</f>
        <v>41306</v>
      </c>
      <c r="C68" s="208">
        <v>9659453.5</v>
      </c>
      <c r="D68" s="208">
        <v>2377587</v>
      </c>
      <c r="E68" s="208">
        <v>2418538.55</v>
      </c>
      <c r="F68" s="134">
        <f t="shared" si="8"/>
        <v>-0.016932353631493622</v>
      </c>
      <c r="G68" s="219">
        <f t="shared" si="9"/>
        <v>0.2461409436879633</v>
      </c>
      <c r="H68" s="125"/>
    </row>
    <row r="69" spans="1:8" ht="15" customHeight="1">
      <c r="A69" s="132"/>
      <c r="B69" s="133">
        <f>DATE(2013,3,1)</f>
        <v>41334</v>
      </c>
      <c r="C69" s="208">
        <v>11947406.01</v>
      </c>
      <c r="D69" s="208">
        <v>3169573.01</v>
      </c>
      <c r="E69" s="208">
        <v>2134804.5</v>
      </c>
      <c r="F69" s="134">
        <f t="shared" si="8"/>
        <v>0.48471347610518895</v>
      </c>
      <c r="G69" s="219">
        <f t="shared" si="9"/>
        <v>0.26529382255420647</v>
      </c>
      <c r="H69" s="125"/>
    </row>
    <row r="70" spans="1:8" ht="15" customHeight="1">
      <c r="A70" s="132"/>
      <c r="B70" s="133">
        <f>DATE(2013,4,1)</f>
        <v>41365</v>
      </c>
      <c r="C70" s="208">
        <v>10858972.26</v>
      </c>
      <c r="D70" s="208">
        <v>2426949.76</v>
      </c>
      <c r="E70" s="208">
        <v>2205527.51</v>
      </c>
      <c r="F70" s="134">
        <f t="shared" si="8"/>
        <v>0.1003942362976919</v>
      </c>
      <c r="G70" s="219">
        <f t="shared" si="9"/>
        <v>0.2234971875690195</v>
      </c>
      <c r="H70" s="125"/>
    </row>
    <row r="71" spans="1:8" ht="15.75" thickBot="1">
      <c r="A71" s="135"/>
      <c r="B71" s="133"/>
      <c r="C71" s="208"/>
      <c r="D71" s="208"/>
      <c r="E71" s="208"/>
      <c r="F71" s="134"/>
      <c r="G71" s="219"/>
      <c r="H71" s="125"/>
    </row>
    <row r="72" spans="1:8" ht="15" customHeight="1" thickBot="1" thickTop="1">
      <c r="A72" s="143" t="s">
        <v>14</v>
      </c>
      <c r="B72" s="144"/>
      <c r="C72" s="211">
        <f>SUM(C61:C71)</f>
        <v>103474592.52000001</v>
      </c>
      <c r="D72" s="267">
        <f>SUM(D61:D71)</f>
        <v>24954629.519999996</v>
      </c>
      <c r="E72" s="210">
        <f>SUM(E61:E71)</f>
        <v>23214117.54</v>
      </c>
      <c r="F72" s="274">
        <f>(+D72-E72)/E72</f>
        <v>0.07497644383857965</v>
      </c>
      <c r="G72" s="273">
        <f>D72/C72</f>
        <v>0.24116673390307536</v>
      </c>
      <c r="H72" s="125"/>
    </row>
    <row r="73" spans="1:8" ht="15" customHeight="1" thickTop="1">
      <c r="A73" s="132"/>
      <c r="B73" s="136"/>
      <c r="C73" s="208"/>
      <c r="D73" s="208"/>
      <c r="E73" s="208"/>
      <c r="F73" s="134"/>
      <c r="G73" s="222"/>
      <c r="H73" s="125"/>
    </row>
    <row r="74" spans="1:8" ht="15.75">
      <c r="A74" s="132" t="s">
        <v>67</v>
      </c>
      <c r="B74" s="133">
        <f>DATE(2012,10,1)</f>
        <v>41183</v>
      </c>
      <c r="C74" s="208">
        <v>303644</v>
      </c>
      <c r="D74" s="208">
        <v>76884.5</v>
      </c>
      <c r="E74" s="208">
        <v>0</v>
      </c>
      <c r="F74" s="134">
        <v>1</v>
      </c>
      <c r="G74" s="219">
        <f aca="true" t="shared" si="10" ref="G74:G80">D74/C74</f>
        <v>0.2532060570931749</v>
      </c>
      <c r="H74" s="125"/>
    </row>
    <row r="75" spans="1:8" ht="15.75">
      <c r="A75" s="132"/>
      <c r="B75" s="133">
        <f>DATE(2012,11,1)</f>
        <v>41214</v>
      </c>
      <c r="C75" s="208">
        <v>3568993</v>
      </c>
      <c r="D75" s="208">
        <v>762319</v>
      </c>
      <c r="E75" s="208">
        <v>0</v>
      </c>
      <c r="F75" s="134">
        <v>1</v>
      </c>
      <c r="G75" s="219">
        <f t="shared" si="10"/>
        <v>0.21359498323476678</v>
      </c>
      <c r="H75" s="125"/>
    </row>
    <row r="76" spans="1:8" ht="15.75">
      <c r="A76" s="132"/>
      <c r="B76" s="133">
        <f>DATE(2012,12,1)</f>
        <v>41244</v>
      </c>
      <c r="C76" s="208">
        <v>3881633</v>
      </c>
      <c r="D76" s="208">
        <v>776234.5</v>
      </c>
      <c r="E76" s="208">
        <v>0</v>
      </c>
      <c r="F76" s="134">
        <v>1</v>
      </c>
      <c r="G76" s="219">
        <f t="shared" si="10"/>
        <v>0.1999762728727832</v>
      </c>
      <c r="H76" s="125"/>
    </row>
    <row r="77" spans="1:8" ht="15.75">
      <c r="A77" s="132"/>
      <c r="B77" s="133">
        <f>DATE(2013,1,1)</f>
        <v>41275</v>
      </c>
      <c r="C77" s="208">
        <v>3382499</v>
      </c>
      <c r="D77" s="208">
        <v>752305</v>
      </c>
      <c r="E77" s="208">
        <v>0</v>
      </c>
      <c r="F77" s="134">
        <v>1</v>
      </c>
      <c r="G77" s="219">
        <f t="shared" si="10"/>
        <v>0.2224110044082792</v>
      </c>
      <c r="H77" s="125"/>
    </row>
    <row r="78" spans="1:8" ht="15.75">
      <c r="A78" s="132"/>
      <c r="B78" s="133">
        <f>DATE(2013,2,1)</f>
        <v>41306</v>
      </c>
      <c r="C78" s="208">
        <v>3794997</v>
      </c>
      <c r="D78" s="208">
        <v>867446</v>
      </c>
      <c r="E78" s="208">
        <v>0</v>
      </c>
      <c r="F78" s="134">
        <v>1</v>
      </c>
      <c r="G78" s="219">
        <f t="shared" si="10"/>
        <v>0.22857620177301852</v>
      </c>
      <c r="H78" s="125"/>
    </row>
    <row r="79" spans="1:8" ht="15.75">
      <c r="A79" s="132"/>
      <c r="B79" s="133">
        <f>DATE(2013,3,1)</f>
        <v>41334</v>
      </c>
      <c r="C79" s="208">
        <v>4122232</v>
      </c>
      <c r="D79" s="208">
        <v>897877.5</v>
      </c>
      <c r="E79" s="208">
        <v>0</v>
      </c>
      <c r="F79" s="134">
        <v>1</v>
      </c>
      <c r="G79" s="219">
        <f t="shared" si="10"/>
        <v>0.21781343214064613</v>
      </c>
      <c r="H79" s="125"/>
    </row>
    <row r="80" spans="1:8" ht="15.75">
      <c r="A80" s="132"/>
      <c r="B80" s="133">
        <f>DATE(2013,4,1)</f>
        <v>41365</v>
      </c>
      <c r="C80" s="208">
        <v>3303090</v>
      </c>
      <c r="D80" s="208">
        <v>730894</v>
      </c>
      <c r="E80" s="208">
        <v>0</v>
      </c>
      <c r="F80" s="134">
        <v>1</v>
      </c>
      <c r="G80" s="219">
        <f t="shared" si="10"/>
        <v>0.2212758356569152</v>
      </c>
      <c r="H80" s="125"/>
    </row>
    <row r="81" spans="1:8" ht="16.5" thickBot="1">
      <c r="A81" s="132"/>
      <c r="B81" s="133"/>
      <c r="C81" s="208"/>
      <c r="D81" s="208"/>
      <c r="E81" s="208"/>
      <c r="F81" s="134"/>
      <c r="G81" s="219"/>
      <c r="H81" s="125"/>
    </row>
    <row r="82" spans="1:8" ht="17.25" thickBot="1" thickTop="1">
      <c r="A82" s="143" t="s">
        <v>14</v>
      </c>
      <c r="B82" s="144"/>
      <c r="C82" s="211">
        <f>SUM(C74:C81)</f>
        <v>22357088</v>
      </c>
      <c r="D82" s="267">
        <f>SUM(D74:D81)</f>
        <v>4863960.5</v>
      </c>
      <c r="E82" s="211">
        <f>SUM(E74:E81)</f>
        <v>0</v>
      </c>
      <c r="F82" s="275">
        <v>1</v>
      </c>
      <c r="G82" s="273">
        <f>D82/C82</f>
        <v>0.21755787247426855</v>
      </c>
      <c r="H82" s="125"/>
    </row>
    <row r="83" spans="1:8" ht="15" customHeight="1" thickTop="1">
      <c r="A83" s="132"/>
      <c r="B83" s="136"/>
      <c r="C83" s="208"/>
      <c r="D83" s="208"/>
      <c r="E83" s="208"/>
      <c r="F83" s="134"/>
      <c r="G83" s="222"/>
      <c r="H83" s="125"/>
    </row>
    <row r="84" spans="1:8" ht="15.75">
      <c r="A84" s="132" t="s">
        <v>17</v>
      </c>
      <c r="B84" s="133">
        <f>DATE(2012,7,1)</f>
        <v>41091</v>
      </c>
      <c r="C84" s="208">
        <v>2208808.5</v>
      </c>
      <c r="D84" s="208">
        <v>332508</v>
      </c>
      <c r="E84" s="208">
        <v>353440</v>
      </c>
      <c r="F84" s="134">
        <f aca="true" t="shared" si="11" ref="F84:F93">(+D84-E84)/E84</f>
        <v>-0.05922363060208239</v>
      </c>
      <c r="G84" s="219">
        <f aca="true" t="shared" si="12" ref="G84:G93">D84/C84</f>
        <v>0.15053726930152614</v>
      </c>
      <c r="H84" s="125"/>
    </row>
    <row r="85" spans="1:8" ht="15.75">
      <c r="A85" s="132"/>
      <c r="B85" s="133">
        <f>DATE(2012,8,1)</f>
        <v>41122</v>
      </c>
      <c r="C85" s="208">
        <v>2296782.5</v>
      </c>
      <c r="D85" s="208">
        <v>388421</v>
      </c>
      <c r="E85" s="208">
        <v>555919</v>
      </c>
      <c r="F85" s="134">
        <f t="shared" si="11"/>
        <v>-0.3012992900044791</v>
      </c>
      <c r="G85" s="219">
        <f t="shared" si="12"/>
        <v>0.169115273213724</v>
      </c>
      <c r="H85" s="125"/>
    </row>
    <row r="86" spans="1:8" ht="15.75">
      <c r="A86" s="132"/>
      <c r="B86" s="133">
        <f>DATE(2012,9,1)</f>
        <v>41153</v>
      </c>
      <c r="C86" s="208">
        <v>2141728</v>
      </c>
      <c r="D86" s="208">
        <v>395319</v>
      </c>
      <c r="E86" s="208">
        <v>375473.7</v>
      </c>
      <c r="F86" s="134">
        <f t="shared" si="11"/>
        <v>0.05285403478326175</v>
      </c>
      <c r="G86" s="219">
        <f t="shared" si="12"/>
        <v>0.18457946107068685</v>
      </c>
      <c r="H86" s="125"/>
    </row>
    <row r="87" spans="1:8" ht="15.75">
      <c r="A87" s="132"/>
      <c r="B87" s="133">
        <f>DATE(2012,10,1)</f>
        <v>41183</v>
      </c>
      <c r="C87" s="208">
        <v>2059091</v>
      </c>
      <c r="D87" s="208">
        <v>388675.5</v>
      </c>
      <c r="E87" s="208">
        <v>479533</v>
      </c>
      <c r="F87" s="134">
        <f t="shared" si="11"/>
        <v>-0.18947079763019437</v>
      </c>
      <c r="G87" s="219">
        <f t="shared" si="12"/>
        <v>0.18876072014301457</v>
      </c>
      <c r="H87" s="125"/>
    </row>
    <row r="88" spans="1:8" ht="15.75">
      <c r="A88" s="132"/>
      <c r="B88" s="133">
        <f>DATE(2012,11,1)</f>
        <v>41214</v>
      </c>
      <c r="C88" s="208">
        <v>2008842.5</v>
      </c>
      <c r="D88" s="208">
        <v>375484.5</v>
      </c>
      <c r="E88" s="208">
        <v>367159.6</v>
      </c>
      <c r="F88" s="134">
        <f t="shared" si="11"/>
        <v>0.022673790907278533</v>
      </c>
      <c r="G88" s="219">
        <f t="shared" si="12"/>
        <v>0.1869158483056785</v>
      </c>
      <c r="H88" s="125"/>
    </row>
    <row r="89" spans="1:8" ht="15.75">
      <c r="A89" s="132"/>
      <c r="B89" s="133">
        <f>DATE(2012,12,1)</f>
        <v>41244</v>
      </c>
      <c r="C89" s="208">
        <v>2095297.25</v>
      </c>
      <c r="D89" s="208">
        <v>467552.75</v>
      </c>
      <c r="E89" s="208">
        <v>573018.5</v>
      </c>
      <c r="F89" s="134">
        <f t="shared" si="11"/>
        <v>-0.18405295815056583</v>
      </c>
      <c r="G89" s="219">
        <f t="shared" si="12"/>
        <v>0.2231438761254519</v>
      </c>
      <c r="H89" s="125"/>
    </row>
    <row r="90" spans="1:8" ht="15.75">
      <c r="A90" s="132"/>
      <c r="B90" s="133">
        <f>DATE(2013,1,1)</f>
        <v>41275</v>
      </c>
      <c r="C90" s="208">
        <v>1976617</v>
      </c>
      <c r="D90" s="208">
        <v>425287</v>
      </c>
      <c r="E90" s="208">
        <v>391170.5</v>
      </c>
      <c r="F90" s="134">
        <f t="shared" si="11"/>
        <v>0.08721644398031038</v>
      </c>
      <c r="G90" s="219">
        <f t="shared" si="12"/>
        <v>0.21515903182052973</v>
      </c>
      <c r="H90" s="125"/>
    </row>
    <row r="91" spans="1:8" ht="15.75">
      <c r="A91" s="132"/>
      <c r="B91" s="133">
        <f>DATE(2013,2,1)</f>
        <v>41306</v>
      </c>
      <c r="C91" s="208">
        <v>2062561</v>
      </c>
      <c r="D91" s="208">
        <v>336229</v>
      </c>
      <c r="E91" s="208">
        <v>580842.25</v>
      </c>
      <c r="F91" s="134">
        <f t="shared" si="11"/>
        <v>-0.42113542876744936</v>
      </c>
      <c r="G91" s="219">
        <f t="shared" si="12"/>
        <v>0.1630152999111299</v>
      </c>
      <c r="H91" s="125"/>
    </row>
    <row r="92" spans="1:8" ht="15.75">
      <c r="A92" s="132"/>
      <c r="B92" s="133">
        <f>DATE(2013,3,1)</f>
        <v>41334</v>
      </c>
      <c r="C92" s="208">
        <v>2568843</v>
      </c>
      <c r="D92" s="208">
        <v>462127</v>
      </c>
      <c r="E92" s="208">
        <v>515076.5</v>
      </c>
      <c r="F92" s="134">
        <f t="shared" si="11"/>
        <v>-0.10279929292056617</v>
      </c>
      <c r="G92" s="219">
        <f t="shared" si="12"/>
        <v>0.17989694193066685</v>
      </c>
      <c r="H92" s="125"/>
    </row>
    <row r="93" spans="1:8" ht="15.75">
      <c r="A93" s="132"/>
      <c r="B93" s="133">
        <f>DATE(2013,4,1)</f>
        <v>41365</v>
      </c>
      <c r="C93" s="208">
        <v>2219943.5</v>
      </c>
      <c r="D93" s="208">
        <v>434337.5</v>
      </c>
      <c r="E93" s="208">
        <v>469111</v>
      </c>
      <c r="F93" s="134">
        <f t="shared" si="11"/>
        <v>-0.07412637947095677</v>
      </c>
      <c r="G93" s="219">
        <f t="shared" si="12"/>
        <v>0.19565250196682935</v>
      </c>
      <c r="H93" s="125"/>
    </row>
    <row r="94" spans="1:8" ht="16.5" thickBot="1">
      <c r="A94" s="132"/>
      <c r="B94" s="133"/>
      <c r="C94" s="208"/>
      <c r="D94" s="208"/>
      <c r="E94" s="208"/>
      <c r="F94" s="134"/>
      <c r="G94" s="219"/>
      <c r="H94" s="125"/>
    </row>
    <row r="95" spans="1:8" ht="17.25" thickBot="1" thickTop="1">
      <c r="A95" s="143" t="s">
        <v>14</v>
      </c>
      <c r="B95" s="144"/>
      <c r="C95" s="211">
        <f>SUM(C84:C94)</f>
        <v>21638514.25</v>
      </c>
      <c r="D95" s="267">
        <f>SUM(D84:D94)</f>
        <v>4005941.25</v>
      </c>
      <c r="E95" s="211">
        <f>SUM(E84:E94)</f>
        <v>4660744.05</v>
      </c>
      <c r="F95" s="275">
        <f>(+D95-E95)/E95</f>
        <v>-0.14049319013774203</v>
      </c>
      <c r="G95" s="273">
        <f>D95/C95</f>
        <v>0.1851301435818312</v>
      </c>
      <c r="H95" s="125"/>
    </row>
    <row r="96" spans="1:8" ht="16.5" thickTop="1">
      <c r="A96" s="132"/>
      <c r="B96" s="141"/>
      <c r="C96" s="209"/>
      <c r="D96" s="209"/>
      <c r="E96" s="209"/>
      <c r="F96" s="142"/>
      <c r="G96" s="220"/>
      <c r="H96" s="125"/>
    </row>
    <row r="97" spans="1:8" ht="15.75">
      <c r="A97" s="132" t="s">
        <v>55</v>
      </c>
      <c r="B97" s="133">
        <f>DATE(2012,7,1)</f>
        <v>41091</v>
      </c>
      <c r="C97" s="208">
        <v>12987968.5</v>
      </c>
      <c r="D97" s="208">
        <v>2343873.36</v>
      </c>
      <c r="E97" s="208">
        <v>2899570.93</v>
      </c>
      <c r="F97" s="134">
        <f aca="true" t="shared" si="13" ref="F97:F106">(+D97-E97)/E97</f>
        <v>-0.1916482070676575</v>
      </c>
      <c r="G97" s="219">
        <f aca="true" t="shared" si="14" ref="G97:G106">D97/C97</f>
        <v>0.1804649710999838</v>
      </c>
      <c r="H97" s="125"/>
    </row>
    <row r="98" spans="1:8" ht="15.75">
      <c r="A98" s="132"/>
      <c r="B98" s="133">
        <f>DATE(2012,8,1)</f>
        <v>41122</v>
      </c>
      <c r="C98" s="208">
        <v>12296959</v>
      </c>
      <c r="D98" s="208">
        <v>2630512.84</v>
      </c>
      <c r="E98" s="208">
        <v>2205274.12</v>
      </c>
      <c r="F98" s="134">
        <f t="shared" si="13"/>
        <v>0.1928280553167693</v>
      </c>
      <c r="G98" s="219">
        <f t="shared" si="14"/>
        <v>0.21391572013861312</v>
      </c>
      <c r="H98" s="125"/>
    </row>
    <row r="99" spans="1:8" ht="15.75">
      <c r="A99" s="132"/>
      <c r="B99" s="133">
        <f>DATE(2012,9,1)</f>
        <v>41153</v>
      </c>
      <c r="C99" s="208">
        <v>12241236</v>
      </c>
      <c r="D99" s="208">
        <v>2270698.81</v>
      </c>
      <c r="E99" s="208">
        <v>2785236.92</v>
      </c>
      <c r="F99" s="134">
        <f t="shared" si="13"/>
        <v>-0.18473764522696326</v>
      </c>
      <c r="G99" s="219">
        <f t="shared" si="14"/>
        <v>0.1854958772137062</v>
      </c>
      <c r="H99" s="125"/>
    </row>
    <row r="100" spans="1:8" ht="15.75">
      <c r="A100" s="132"/>
      <c r="B100" s="133">
        <f>DATE(2012,10,1)</f>
        <v>41183</v>
      </c>
      <c r="C100" s="208">
        <v>12301654</v>
      </c>
      <c r="D100" s="208">
        <v>3090560.71</v>
      </c>
      <c r="E100" s="208">
        <v>2986060.01</v>
      </c>
      <c r="F100" s="134">
        <f t="shared" si="13"/>
        <v>0.03499618214303744</v>
      </c>
      <c r="G100" s="219">
        <f t="shared" si="14"/>
        <v>0.25123131491098677</v>
      </c>
      <c r="H100" s="125"/>
    </row>
    <row r="101" spans="1:8" ht="15.75">
      <c r="A101" s="132"/>
      <c r="B101" s="133">
        <f>DATE(2012,11,1)</f>
        <v>41214</v>
      </c>
      <c r="C101" s="208">
        <v>11912305</v>
      </c>
      <c r="D101" s="208">
        <v>2603924.62</v>
      </c>
      <c r="E101" s="208">
        <v>2769316.82</v>
      </c>
      <c r="F101" s="134">
        <f t="shared" si="13"/>
        <v>-0.05972310528197338</v>
      </c>
      <c r="G101" s="219">
        <f t="shared" si="14"/>
        <v>0.21859116434644682</v>
      </c>
      <c r="H101" s="125"/>
    </row>
    <row r="102" spans="1:8" ht="15.75">
      <c r="A102" s="132"/>
      <c r="B102" s="133">
        <f>DATE(2012,12,1)</f>
        <v>41244</v>
      </c>
      <c r="C102" s="208">
        <v>12692005</v>
      </c>
      <c r="D102" s="208">
        <v>2755150.07</v>
      </c>
      <c r="E102" s="208">
        <v>2626111.52</v>
      </c>
      <c r="F102" s="134">
        <f t="shared" si="13"/>
        <v>0.04913673658459097</v>
      </c>
      <c r="G102" s="219">
        <f t="shared" si="14"/>
        <v>0.21707760672959078</v>
      </c>
      <c r="H102" s="125"/>
    </row>
    <row r="103" spans="1:8" ht="15.75">
      <c r="A103" s="132"/>
      <c r="B103" s="133">
        <f>DATE(2013,1,1)</f>
        <v>41275</v>
      </c>
      <c r="C103" s="208">
        <v>11097667.5</v>
      </c>
      <c r="D103" s="208">
        <v>2383892.47</v>
      </c>
      <c r="E103" s="208">
        <v>2244738.53</v>
      </c>
      <c r="F103" s="134">
        <f t="shared" si="13"/>
        <v>0.06199115760711802</v>
      </c>
      <c r="G103" s="219">
        <f t="shared" si="14"/>
        <v>0.2148102265633747</v>
      </c>
      <c r="H103" s="125"/>
    </row>
    <row r="104" spans="1:8" ht="15.75">
      <c r="A104" s="132"/>
      <c r="B104" s="133">
        <f>DATE(2013,2,1)</f>
        <v>41306</v>
      </c>
      <c r="C104" s="208">
        <v>12155048</v>
      </c>
      <c r="D104" s="208">
        <v>2525479.91</v>
      </c>
      <c r="E104" s="208">
        <v>2518117.93</v>
      </c>
      <c r="F104" s="134">
        <f t="shared" si="13"/>
        <v>0.00292360413795234</v>
      </c>
      <c r="G104" s="219">
        <f t="shared" si="14"/>
        <v>0.20777210505462423</v>
      </c>
      <c r="H104" s="125"/>
    </row>
    <row r="105" spans="1:8" ht="15.75">
      <c r="A105" s="132"/>
      <c r="B105" s="133">
        <f>DATE(2013,3,1)</f>
        <v>41334</v>
      </c>
      <c r="C105" s="208">
        <v>14089592</v>
      </c>
      <c r="D105" s="208">
        <v>2809705.55</v>
      </c>
      <c r="E105" s="208">
        <v>2761497.32</v>
      </c>
      <c r="F105" s="134">
        <f t="shared" si="13"/>
        <v>0.017457279299478004</v>
      </c>
      <c r="G105" s="219">
        <f t="shared" si="14"/>
        <v>0.19941709809624011</v>
      </c>
      <c r="H105" s="125"/>
    </row>
    <row r="106" spans="1:8" ht="15.75">
      <c r="A106" s="132"/>
      <c r="B106" s="133">
        <f>DATE(2013,4,1)</f>
        <v>41365</v>
      </c>
      <c r="C106" s="208">
        <v>12655314</v>
      </c>
      <c r="D106" s="208">
        <v>2808367.58</v>
      </c>
      <c r="E106" s="208">
        <v>2635260.93</v>
      </c>
      <c r="F106" s="134">
        <f t="shared" si="13"/>
        <v>0.06568861854602</v>
      </c>
      <c r="G106" s="219">
        <f t="shared" si="14"/>
        <v>0.22191212165893318</v>
      </c>
      <c r="H106" s="125"/>
    </row>
    <row r="107" spans="1:8" ht="16.5" thickBot="1">
      <c r="A107" s="132"/>
      <c r="B107" s="133"/>
      <c r="C107" s="208"/>
      <c r="D107" s="208"/>
      <c r="E107" s="208"/>
      <c r="F107" s="134"/>
      <c r="G107" s="219"/>
      <c r="H107" s="125"/>
    </row>
    <row r="108" spans="1:8" ht="17.25" thickBot="1" thickTop="1">
      <c r="A108" s="143" t="s">
        <v>14</v>
      </c>
      <c r="B108" s="144"/>
      <c r="C108" s="210">
        <f>SUM(C97:C107)</f>
        <v>124429749</v>
      </c>
      <c r="D108" s="210">
        <f>SUM(D97:D107)</f>
        <v>26222165.92</v>
      </c>
      <c r="E108" s="210">
        <f>SUM(E97:E107)</f>
        <v>26431185.03</v>
      </c>
      <c r="F108" s="145">
        <f>(+D108-E108)/E108</f>
        <v>-0.007908049138272004</v>
      </c>
      <c r="G108" s="221">
        <f>D108/C108</f>
        <v>0.2107387190823635</v>
      </c>
      <c r="H108" s="125"/>
    </row>
    <row r="109" spans="1:8" ht="16.5" thickTop="1">
      <c r="A109" s="140"/>
      <c r="B109" s="141"/>
      <c r="C109" s="209"/>
      <c r="D109" s="209"/>
      <c r="E109" s="209"/>
      <c r="F109" s="142"/>
      <c r="G109" s="220"/>
      <c r="H109" s="125"/>
    </row>
    <row r="110" spans="1:8" ht="15.75">
      <c r="A110" s="132" t="s">
        <v>18</v>
      </c>
      <c r="B110" s="133">
        <f>DATE(2012,7,1)</f>
        <v>41091</v>
      </c>
      <c r="C110" s="208">
        <v>11098112.25</v>
      </c>
      <c r="D110" s="208">
        <v>2399258.75</v>
      </c>
      <c r="E110" s="208">
        <v>2495170</v>
      </c>
      <c r="F110" s="134">
        <f aca="true" t="shared" si="15" ref="F110:F119">(+D110-E110)/E110</f>
        <v>-0.03843876369145188</v>
      </c>
      <c r="G110" s="219">
        <f aca="true" t="shared" si="16" ref="G110:G119">D110/C110</f>
        <v>0.2161862031986566</v>
      </c>
      <c r="H110" s="125"/>
    </row>
    <row r="111" spans="1:8" ht="15.75">
      <c r="A111" s="132"/>
      <c r="B111" s="133">
        <f>DATE(2012,8,1)</f>
        <v>41122</v>
      </c>
      <c r="C111" s="208">
        <v>10810038</v>
      </c>
      <c r="D111" s="208">
        <v>1805947.5</v>
      </c>
      <c r="E111" s="208">
        <v>1800582</v>
      </c>
      <c r="F111" s="134">
        <f t="shared" si="15"/>
        <v>0.0029798698420843927</v>
      </c>
      <c r="G111" s="219">
        <f t="shared" si="16"/>
        <v>0.16706208618323082</v>
      </c>
      <c r="H111" s="125"/>
    </row>
    <row r="112" spans="1:8" ht="15.75">
      <c r="A112" s="132"/>
      <c r="B112" s="133">
        <f>DATE(2012,9,1)</f>
        <v>41153</v>
      </c>
      <c r="C112" s="208">
        <v>10217115</v>
      </c>
      <c r="D112" s="208">
        <v>1884063.5</v>
      </c>
      <c r="E112" s="208">
        <v>1762511</v>
      </c>
      <c r="F112" s="134">
        <f t="shared" si="15"/>
        <v>0.06896552702366113</v>
      </c>
      <c r="G112" s="219">
        <f t="shared" si="16"/>
        <v>0.1844026909748985</v>
      </c>
      <c r="H112" s="125"/>
    </row>
    <row r="113" spans="1:8" ht="15.75">
      <c r="A113" s="132"/>
      <c r="B113" s="133">
        <f>DATE(2012,10,1)</f>
        <v>41183</v>
      </c>
      <c r="C113" s="208">
        <v>10153313</v>
      </c>
      <c r="D113" s="208">
        <v>1745693</v>
      </c>
      <c r="E113" s="208">
        <v>2316654.5</v>
      </c>
      <c r="F113" s="134">
        <f t="shared" si="15"/>
        <v>-0.24645949579447432</v>
      </c>
      <c r="G113" s="219">
        <f t="shared" si="16"/>
        <v>0.17193333840885236</v>
      </c>
      <c r="H113" s="125"/>
    </row>
    <row r="114" spans="1:8" ht="15.75">
      <c r="A114" s="132"/>
      <c r="B114" s="133">
        <f>DATE(2012,11,1)</f>
        <v>41214</v>
      </c>
      <c r="C114" s="208">
        <v>11498817</v>
      </c>
      <c r="D114" s="208">
        <v>2339476.5</v>
      </c>
      <c r="E114" s="208">
        <v>2382541.5</v>
      </c>
      <c r="F114" s="134">
        <f t="shared" si="15"/>
        <v>-0.018075236045206347</v>
      </c>
      <c r="G114" s="219">
        <f t="shared" si="16"/>
        <v>0.20345366832083683</v>
      </c>
      <c r="H114" s="125"/>
    </row>
    <row r="115" spans="1:8" ht="15.75">
      <c r="A115" s="132"/>
      <c r="B115" s="133">
        <f>DATE(2012,12,1)</f>
        <v>41244</v>
      </c>
      <c r="C115" s="208">
        <v>11682907</v>
      </c>
      <c r="D115" s="208">
        <v>2530368.5</v>
      </c>
      <c r="E115" s="208">
        <v>2141744.5</v>
      </c>
      <c r="F115" s="134">
        <f t="shared" si="15"/>
        <v>0.18145208263637422</v>
      </c>
      <c r="G115" s="219">
        <f t="shared" si="16"/>
        <v>0.21658723295494864</v>
      </c>
      <c r="H115" s="125"/>
    </row>
    <row r="116" spans="1:8" ht="15.75">
      <c r="A116" s="132"/>
      <c r="B116" s="133">
        <f>DATE(2013,1,1)</f>
        <v>41275</v>
      </c>
      <c r="C116" s="208">
        <v>9707045.5</v>
      </c>
      <c r="D116" s="208">
        <v>1842786</v>
      </c>
      <c r="E116" s="208">
        <v>2201368</v>
      </c>
      <c r="F116" s="134">
        <f t="shared" si="15"/>
        <v>-0.1628905298886874</v>
      </c>
      <c r="G116" s="219">
        <f t="shared" si="16"/>
        <v>0.18984004968350052</v>
      </c>
      <c r="H116" s="125"/>
    </row>
    <row r="117" spans="1:8" ht="15.75">
      <c r="A117" s="132"/>
      <c r="B117" s="133">
        <f>DATE(2013,2,1)</f>
        <v>41306</v>
      </c>
      <c r="C117" s="208">
        <v>9717730</v>
      </c>
      <c r="D117" s="208">
        <v>2070046</v>
      </c>
      <c r="E117" s="208">
        <v>1948758.5</v>
      </c>
      <c r="F117" s="134">
        <f t="shared" si="15"/>
        <v>0.06223834302711188</v>
      </c>
      <c r="G117" s="219">
        <f t="shared" si="16"/>
        <v>0.21301744337412132</v>
      </c>
      <c r="H117" s="125"/>
    </row>
    <row r="118" spans="1:8" ht="15.75">
      <c r="A118" s="132"/>
      <c r="B118" s="133">
        <f>DATE(2013,3,1)</f>
        <v>41334</v>
      </c>
      <c r="C118" s="208">
        <v>12116023</v>
      </c>
      <c r="D118" s="208">
        <v>2457198.5</v>
      </c>
      <c r="E118" s="208">
        <v>2254276.23</v>
      </c>
      <c r="F118" s="134">
        <f t="shared" si="15"/>
        <v>0.0900165948163327</v>
      </c>
      <c r="G118" s="219">
        <f t="shared" si="16"/>
        <v>0.2028056978762751</v>
      </c>
      <c r="H118" s="125"/>
    </row>
    <row r="119" spans="1:8" ht="15.75">
      <c r="A119" s="132"/>
      <c r="B119" s="133">
        <f>DATE(2013,4,1)</f>
        <v>41365</v>
      </c>
      <c r="C119" s="208">
        <v>10002789.8</v>
      </c>
      <c r="D119" s="208">
        <v>2158471.8</v>
      </c>
      <c r="E119" s="208">
        <v>2147163</v>
      </c>
      <c r="F119" s="134">
        <f t="shared" si="15"/>
        <v>0.0052668567779902194</v>
      </c>
      <c r="G119" s="219">
        <f t="shared" si="16"/>
        <v>0.21578697974838976</v>
      </c>
      <c r="H119" s="125"/>
    </row>
    <row r="120" spans="1:8" ht="16.5" thickBot="1">
      <c r="A120" s="132"/>
      <c r="B120" s="133"/>
      <c r="C120" s="208"/>
      <c r="D120" s="208"/>
      <c r="E120" s="208"/>
      <c r="F120" s="134"/>
      <c r="G120" s="219"/>
      <c r="H120" s="125"/>
    </row>
    <row r="121" spans="1:8" ht="17.25" thickBot="1" thickTop="1">
      <c r="A121" s="143" t="s">
        <v>14</v>
      </c>
      <c r="B121" s="144"/>
      <c r="C121" s="210">
        <f>SUM(C110:C120)</f>
        <v>107003890.55</v>
      </c>
      <c r="D121" s="210">
        <f>SUM(D110:D120)</f>
        <v>21233310.05</v>
      </c>
      <c r="E121" s="210">
        <f>SUM(E110:E120)</f>
        <v>21450769.23</v>
      </c>
      <c r="F121" s="145">
        <f>(+D121-E121)/E121</f>
        <v>-0.010137593559855742</v>
      </c>
      <c r="G121" s="221">
        <f>D121/C121</f>
        <v>0.1984349348501329</v>
      </c>
      <c r="H121" s="125"/>
    </row>
    <row r="122" spans="1:8" ht="16.5" thickTop="1">
      <c r="A122" s="140"/>
      <c r="B122" s="141"/>
      <c r="C122" s="209"/>
      <c r="D122" s="209"/>
      <c r="E122" s="209"/>
      <c r="F122" s="142"/>
      <c r="G122" s="220"/>
      <c r="H122" s="125"/>
    </row>
    <row r="123" spans="1:8" ht="15.75">
      <c r="A123" s="132" t="s">
        <v>59</v>
      </c>
      <c r="B123" s="133">
        <f>DATE(2012,7,1)</f>
        <v>41091</v>
      </c>
      <c r="C123" s="208">
        <v>8973371</v>
      </c>
      <c r="D123" s="208">
        <v>1839215.5</v>
      </c>
      <c r="E123" s="208">
        <v>1826326.5</v>
      </c>
      <c r="F123" s="134">
        <f aca="true" t="shared" si="17" ref="F123:F132">(+D123-E123)/E123</f>
        <v>0.0070573361334898225</v>
      </c>
      <c r="G123" s="219">
        <f aca="true" t="shared" si="18" ref="G123:G132">D123/C123</f>
        <v>0.2049637198774017</v>
      </c>
      <c r="H123" s="125"/>
    </row>
    <row r="124" spans="1:8" ht="15.75">
      <c r="A124" s="132"/>
      <c r="B124" s="133">
        <f>DATE(2012,8,1)</f>
        <v>41122</v>
      </c>
      <c r="C124" s="208">
        <v>8565027.5</v>
      </c>
      <c r="D124" s="208">
        <v>1527182.5</v>
      </c>
      <c r="E124" s="208">
        <v>1812724.5</v>
      </c>
      <c r="F124" s="134">
        <f t="shared" si="17"/>
        <v>-0.15752090292816145</v>
      </c>
      <c r="G124" s="219">
        <f t="shared" si="18"/>
        <v>0.17830444794251973</v>
      </c>
      <c r="H124" s="125"/>
    </row>
    <row r="125" spans="1:8" ht="15.75">
      <c r="A125" s="132"/>
      <c r="B125" s="133">
        <f>DATE(2012,9,1)</f>
        <v>41153</v>
      </c>
      <c r="C125" s="208">
        <v>10160599</v>
      </c>
      <c r="D125" s="208">
        <v>2214825</v>
      </c>
      <c r="E125" s="208">
        <v>1468794</v>
      </c>
      <c r="F125" s="134">
        <f t="shared" si="17"/>
        <v>0.5079207839901306</v>
      </c>
      <c r="G125" s="219">
        <f t="shared" si="18"/>
        <v>0.21798173513195432</v>
      </c>
      <c r="H125" s="125"/>
    </row>
    <row r="126" spans="1:8" ht="15.75">
      <c r="A126" s="132"/>
      <c r="B126" s="133">
        <f>DATE(2012,10,1)</f>
        <v>41183</v>
      </c>
      <c r="C126" s="208">
        <v>7632834</v>
      </c>
      <c r="D126" s="208">
        <v>1299004</v>
      </c>
      <c r="E126" s="208">
        <v>153750.5</v>
      </c>
      <c r="F126" s="134">
        <f t="shared" si="17"/>
        <v>7.4487790283608835</v>
      </c>
      <c r="G126" s="219">
        <f t="shared" si="18"/>
        <v>0.17018632921926508</v>
      </c>
      <c r="H126" s="125"/>
    </row>
    <row r="127" spans="1:8" ht="15.75">
      <c r="A127" s="132"/>
      <c r="B127" s="133">
        <f>DATE(2012,11,1)</f>
        <v>41214</v>
      </c>
      <c r="C127" s="208">
        <v>8437227</v>
      </c>
      <c r="D127" s="208">
        <v>1717048.5</v>
      </c>
      <c r="E127" s="208">
        <v>1844894.1</v>
      </c>
      <c r="F127" s="134">
        <f t="shared" si="17"/>
        <v>-0.06929698566438046</v>
      </c>
      <c r="G127" s="219">
        <f t="shared" si="18"/>
        <v>0.20350862907919864</v>
      </c>
      <c r="H127" s="125"/>
    </row>
    <row r="128" spans="1:8" ht="15.75">
      <c r="A128" s="132"/>
      <c r="B128" s="133">
        <f>DATE(2012,12,1)</f>
        <v>41244</v>
      </c>
      <c r="C128" s="208">
        <v>9408776</v>
      </c>
      <c r="D128" s="208">
        <v>1794574</v>
      </c>
      <c r="E128" s="208">
        <v>2005051</v>
      </c>
      <c r="F128" s="134">
        <f t="shared" si="17"/>
        <v>-0.10497338970430178</v>
      </c>
      <c r="G128" s="219">
        <f t="shared" si="18"/>
        <v>0.19073405509919675</v>
      </c>
      <c r="H128" s="125"/>
    </row>
    <row r="129" spans="1:8" ht="15.75">
      <c r="A129" s="132"/>
      <c r="B129" s="133">
        <f>DATE(2013,1,1)</f>
        <v>41275</v>
      </c>
      <c r="C129" s="208">
        <v>8339945</v>
      </c>
      <c r="D129" s="208">
        <v>1786852.5</v>
      </c>
      <c r="E129" s="208">
        <v>1783458.5</v>
      </c>
      <c r="F129" s="134">
        <f t="shared" si="17"/>
        <v>0.0019030440013042076</v>
      </c>
      <c r="G129" s="219">
        <f t="shared" si="18"/>
        <v>0.21425231221548824</v>
      </c>
      <c r="H129" s="125"/>
    </row>
    <row r="130" spans="1:8" ht="15.75">
      <c r="A130" s="132"/>
      <c r="B130" s="133">
        <f>DATE(2013,2,1)</f>
        <v>41306</v>
      </c>
      <c r="C130" s="208">
        <v>8362847</v>
      </c>
      <c r="D130" s="208">
        <v>1760968.5</v>
      </c>
      <c r="E130" s="208">
        <v>1569365.98</v>
      </c>
      <c r="F130" s="134">
        <f t="shared" si="17"/>
        <v>0.12208912544414913</v>
      </c>
      <c r="G130" s="219">
        <f t="shared" si="18"/>
        <v>0.21057045525285828</v>
      </c>
      <c r="H130" s="125"/>
    </row>
    <row r="131" spans="1:8" ht="15.75">
      <c r="A131" s="132"/>
      <c r="B131" s="133">
        <f>DATE(2013,3,1)</f>
        <v>41334</v>
      </c>
      <c r="C131" s="208">
        <v>9230942</v>
      </c>
      <c r="D131" s="208">
        <v>2130448.5</v>
      </c>
      <c r="E131" s="208">
        <v>2164985</v>
      </c>
      <c r="F131" s="134">
        <f t="shared" si="17"/>
        <v>-0.01595230451943085</v>
      </c>
      <c r="G131" s="219">
        <f t="shared" si="18"/>
        <v>0.230794267800621</v>
      </c>
      <c r="H131" s="125"/>
    </row>
    <row r="132" spans="1:8" ht="15.75">
      <c r="A132" s="132"/>
      <c r="B132" s="133">
        <f>DATE(2013,4,1)</f>
        <v>41365</v>
      </c>
      <c r="C132" s="208">
        <v>10222016.25</v>
      </c>
      <c r="D132" s="208">
        <v>1914937.25</v>
      </c>
      <c r="E132" s="208">
        <v>1674818</v>
      </c>
      <c r="F132" s="134">
        <f t="shared" si="17"/>
        <v>0.14337035427132977</v>
      </c>
      <c r="G132" s="219">
        <f t="shared" si="18"/>
        <v>0.18733459262501173</v>
      </c>
      <c r="H132" s="125"/>
    </row>
    <row r="133" spans="1:8" ht="15.75" thickBot="1">
      <c r="A133" s="135"/>
      <c r="B133" s="133"/>
      <c r="C133" s="208"/>
      <c r="D133" s="208"/>
      <c r="E133" s="208"/>
      <c r="F133" s="134"/>
      <c r="G133" s="219"/>
      <c r="H133" s="125"/>
    </row>
    <row r="134" spans="1:8" ht="17.25" thickBot="1" thickTop="1">
      <c r="A134" s="143" t="s">
        <v>14</v>
      </c>
      <c r="B134" s="144"/>
      <c r="C134" s="211">
        <f>SUM(C123:C133)</f>
        <v>89333584.75</v>
      </c>
      <c r="D134" s="211">
        <f>SUM(D123:D133)</f>
        <v>17985056.25</v>
      </c>
      <c r="E134" s="211">
        <f>SUM(E123:E133)</f>
        <v>16304168.08</v>
      </c>
      <c r="F134" s="145">
        <f>(+D134-E134)/E134</f>
        <v>0.10309561099666975</v>
      </c>
      <c r="G134" s="273">
        <f>D134/C134</f>
        <v>0.20132468992855457</v>
      </c>
      <c r="H134" s="125"/>
    </row>
    <row r="135" spans="1:8" ht="16.5" thickTop="1">
      <c r="A135" s="140"/>
      <c r="B135" s="141"/>
      <c r="C135" s="209"/>
      <c r="D135" s="209"/>
      <c r="E135" s="209"/>
      <c r="F135" s="142"/>
      <c r="G135" s="223"/>
      <c r="H135" s="125"/>
    </row>
    <row r="136" spans="1:8" ht="15.75">
      <c r="A136" s="132" t="s">
        <v>60</v>
      </c>
      <c r="B136" s="133">
        <f>DATE(2012,7,1)</f>
        <v>41091</v>
      </c>
      <c r="C136" s="208">
        <v>1035389</v>
      </c>
      <c r="D136" s="208">
        <v>195676.5</v>
      </c>
      <c r="E136" s="208">
        <v>137840.5</v>
      </c>
      <c r="F136" s="134">
        <f aca="true" t="shared" si="19" ref="F136:F145">(+D136-E136)/E136</f>
        <v>0.41958640602725616</v>
      </c>
      <c r="G136" s="219">
        <f aca="true" t="shared" si="20" ref="G136:G145">D136/C136</f>
        <v>0.18898838987086014</v>
      </c>
      <c r="H136" s="125"/>
    </row>
    <row r="137" spans="1:8" ht="15.75">
      <c r="A137" s="132"/>
      <c r="B137" s="133">
        <f>DATE(2012,8,1)</f>
        <v>41122</v>
      </c>
      <c r="C137" s="208">
        <v>876833</v>
      </c>
      <c r="D137" s="208">
        <v>206422</v>
      </c>
      <c r="E137" s="208">
        <v>161114.5</v>
      </c>
      <c r="F137" s="134">
        <f t="shared" si="19"/>
        <v>0.2812130503461824</v>
      </c>
      <c r="G137" s="219">
        <f t="shared" si="20"/>
        <v>0.23541769071191435</v>
      </c>
      <c r="H137" s="125"/>
    </row>
    <row r="138" spans="1:8" ht="15.75">
      <c r="A138" s="132"/>
      <c r="B138" s="133">
        <f>DATE(2012,9,1)</f>
        <v>41153</v>
      </c>
      <c r="C138" s="208">
        <v>811837</v>
      </c>
      <c r="D138" s="208">
        <v>188948</v>
      </c>
      <c r="E138" s="208">
        <v>229181</v>
      </c>
      <c r="F138" s="134">
        <f t="shared" si="19"/>
        <v>-0.1755512018884637</v>
      </c>
      <c r="G138" s="219">
        <f t="shared" si="20"/>
        <v>0.23274130151742284</v>
      </c>
      <c r="H138" s="125"/>
    </row>
    <row r="139" spans="1:8" ht="15.75">
      <c r="A139" s="132"/>
      <c r="B139" s="133">
        <f>DATE(2012,10,1)</f>
        <v>41183</v>
      </c>
      <c r="C139" s="208">
        <v>888769</v>
      </c>
      <c r="D139" s="208">
        <v>149868</v>
      </c>
      <c r="E139" s="208">
        <v>180880.5</v>
      </c>
      <c r="F139" s="134">
        <f t="shared" si="19"/>
        <v>-0.17145297585975272</v>
      </c>
      <c r="G139" s="219">
        <f t="shared" si="20"/>
        <v>0.1686242431948009</v>
      </c>
      <c r="H139" s="125"/>
    </row>
    <row r="140" spans="1:8" ht="15.75">
      <c r="A140" s="132"/>
      <c r="B140" s="133">
        <f>DATE(2012,11,1)</f>
        <v>41214</v>
      </c>
      <c r="C140" s="208">
        <v>966677</v>
      </c>
      <c r="D140" s="208">
        <v>222391</v>
      </c>
      <c r="E140" s="208">
        <v>159299</v>
      </c>
      <c r="F140" s="134">
        <f t="shared" si="19"/>
        <v>0.39606023892177605</v>
      </c>
      <c r="G140" s="219">
        <f t="shared" si="20"/>
        <v>0.23005719594031926</v>
      </c>
      <c r="H140" s="125"/>
    </row>
    <row r="141" spans="1:8" ht="15.75">
      <c r="A141" s="132"/>
      <c r="B141" s="133">
        <f>DATE(2012,12,1)</f>
        <v>41244</v>
      </c>
      <c r="C141" s="208">
        <v>999081</v>
      </c>
      <c r="D141" s="208">
        <v>218156</v>
      </c>
      <c r="E141" s="208">
        <v>218204.5</v>
      </c>
      <c r="F141" s="134">
        <f t="shared" si="19"/>
        <v>-0.0002222685599976169</v>
      </c>
      <c r="G141" s="219">
        <f t="shared" si="20"/>
        <v>0.2183566697795274</v>
      </c>
      <c r="H141" s="125"/>
    </row>
    <row r="142" spans="1:8" ht="15.75">
      <c r="A142" s="132"/>
      <c r="B142" s="133">
        <f>DATE(2013,1,1)</f>
        <v>41275</v>
      </c>
      <c r="C142" s="208">
        <v>956373</v>
      </c>
      <c r="D142" s="208">
        <v>234128.5</v>
      </c>
      <c r="E142" s="208">
        <v>238566</v>
      </c>
      <c r="F142" s="134">
        <f t="shared" si="19"/>
        <v>-0.018600722651174097</v>
      </c>
      <c r="G142" s="219">
        <f t="shared" si="20"/>
        <v>0.24480877230954867</v>
      </c>
      <c r="H142" s="125"/>
    </row>
    <row r="143" spans="1:8" ht="15.75">
      <c r="A143" s="132"/>
      <c r="B143" s="133">
        <f>DATE(2013,2,1)</f>
        <v>41306</v>
      </c>
      <c r="C143" s="208">
        <v>807748</v>
      </c>
      <c r="D143" s="208">
        <v>220884</v>
      </c>
      <c r="E143" s="208">
        <v>160160.5</v>
      </c>
      <c r="F143" s="134">
        <f t="shared" si="19"/>
        <v>0.3791415486340265</v>
      </c>
      <c r="G143" s="219">
        <f t="shared" si="20"/>
        <v>0.27345657308962695</v>
      </c>
      <c r="H143" s="125"/>
    </row>
    <row r="144" spans="1:8" ht="15.75">
      <c r="A144" s="132"/>
      <c r="B144" s="133">
        <f>DATE(2013,3,1)</f>
        <v>41334</v>
      </c>
      <c r="C144" s="208">
        <v>1095733</v>
      </c>
      <c r="D144" s="208">
        <v>241387.5</v>
      </c>
      <c r="E144" s="208">
        <v>230235</v>
      </c>
      <c r="F144" s="134">
        <f t="shared" si="19"/>
        <v>0.04843963776141768</v>
      </c>
      <c r="G144" s="219">
        <f t="shared" si="20"/>
        <v>0.22029773676616474</v>
      </c>
      <c r="H144" s="125"/>
    </row>
    <row r="145" spans="1:8" ht="15.75">
      <c r="A145" s="132"/>
      <c r="B145" s="133">
        <f>DATE(2013,4,1)</f>
        <v>41365</v>
      </c>
      <c r="C145" s="208">
        <v>921673.5</v>
      </c>
      <c r="D145" s="208">
        <v>226993.5</v>
      </c>
      <c r="E145" s="208">
        <v>200675</v>
      </c>
      <c r="F145" s="134">
        <f t="shared" si="19"/>
        <v>0.13114986919147875</v>
      </c>
      <c r="G145" s="219">
        <f t="shared" si="20"/>
        <v>0.24628406914162118</v>
      </c>
      <c r="H145" s="125"/>
    </row>
    <row r="146" spans="1:8" ht="15.75" thickBot="1">
      <c r="A146" s="135"/>
      <c r="B146" s="136"/>
      <c r="C146" s="208"/>
      <c r="D146" s="208"/>
      <c r="E146" s="208"/>
      <c r="F146" s="134"/>
      <c r="G146" s="219"/>
      <c r="H146" s="125"/>
    </row>
    <row r="147" spans="1:8" ht="17.25" thickBot="1" thickTop="1">
      <c r="A147" s="147" t="s">
        <v>14</v>
      </c>
      <c r="B147" s="148"/>
      <c r="C147" s="211">
        <f>SUM(C136:C146)</f>
        <v>9360113.5</v>
      </c>
      <c r="D147" s="211">
        <f>SUM(D136:D146)</f>
        <v>2104855</v>
      </c>
      <c r="E147" s="211">
        <f>SUM(E136:E146)</f>
        <v>1916156.5</v>
      </c>
      <c r="F147" s="145">
        <f>(+D147-E147)/E147</f>
        <v>0.09847760347341149</v>
      </c>
      <c r="G147" s="221">
        <f>D147/C147</f>
        <v>0.22487494409122283</v>
      </c>
      <c r="H147" s="125"/>
    </row>
    <row r="148" spans="1:8" ht="16.5" thickTop="1">
      <c r="A148" s="132"/>
      <c r="B148" s="136"/>
      <c r="C148" s="208"/>
      <c r="D148" s="208"/>
      <c r="E148" s="208"/>
      <c r="F148" s="134"/>
      <c r="G148" s="222"/>
      <c r="H148" s="125"/>
    </row>
    <row r="149" spans="1:8" ht="15.75">
      <c r="A149" s="132" t="s">
        <v>40</v>
      </c>
      <c r="B149" s="133">
        <f>DATE(2012,7,1)</f>
        <v>41091</v>
      </c>
      <c r="C149" s="208">
        <v>10603990</v>
      </c>
      <c r="D149" s="208">
        <v>1762870</v>
      </c>
      <c r="E149" s="208">
        <v>2522799.5</v>
      </c>
      <c r="F149" s="134">
        <f aca="true" t="shared" si="21" ref="F149:F158">(+D149-E149)/E149</f>
        <v>-0.3012246910624487</v>
      </c>
      <c r="G149" s="219">
        <f aca="true" t="shared" si="22" ref="G149:G158">D149/C149</f>
        <v>0.16624591309497652</v>
      </c>
      <c r="H149" s="125"/>
    </row>
    <row r="150" spans="1:8" ht="15.75">
      <c r="A150" s="132"/>
      <c r="B150" s="133">
        <f>DATE(2012,8,1)</f>
        <v>41122</v>
      </c>
      <c r="C150" s="208">
        <v>10387161.5</v>
      </c>
      <c r="D150" s="208">
        <v>1712525</v>
      </c>
      <c r="E150" s="208">
        <v>1385303.5</v>
      </c>
      <c r="F150" s="134">
        <f t="shared" si="21"/>
        <v>0.23620924945327865</v>
      </c>
      <c r="G150" s="219">
        <f t="shared" si="22"/>
        <v>0.16486939189305952</v>
      </c>
      <c r="H150" s="125"/>
    </row>
    <row r="151" spans="1:8" ht="15.75">
      <c r="A151" s="132"/>
      <c r="B151" s="133">
        <f>DATE(2012,9,1)</f>
        <v>41153</v>
      </c>
      <c r="C151" s="208">
        <v>10653084</v>
      </c>
      <c r="D151" s="208">
        <v>2354862.5</v>
      </c>
      <c r="E151" s="208">
        <v>2140163.7</v>
      </c>
      <c r="F151" s="134">
        <f t="shared" si="21"/>
        <v>0.10031886813144238</v>
      </c>
      <c r="G151" s="219">
        <f t="shared" si="22"/>
        <v>0.22104983871337164</v>
      </c>
      <c r="H151" s="125"/>
    </row>
    <row r="152" spans="1:8" ht="15.75">
      <c r="A152" s="132"/>
      <c r="B152" s="133">
        <f>DATE(2012,10,1)</f>
        <v>41183</v>
      </c>
      <c r="C152" s="208">
        <v>9871658</v>
      </c>
      <c r="D152" s="208">
        <v>2068802</v>
      </c>
      <c r="E152" s="208">
        <v>2230178.9</v>
      </c>
      <c r="F152" s="134">
        <f t="shared" si="21"/>
        <v>-0.07236051780419944</v>
      </c>
      <c r="G152" s="219">
        <f t="shared" si="22"/>
        <v>0.20956986151667734</v>
      </c>
      <c r="H152" s="125"/>
    </row>
    <row r="153" spans="1:8" ht="15.75">
      <c r="A153" s="132"/>
      <c r="B153" s="133">
        <f>DATE(2012,11,1)</f>
        <v>41214</v>
      </c>
      <c r="C153" s="208">
        <v>10621329</v>
      </c>
      <c r="D153" s="208">
        <v>2585750.5</v>
      </c>
      <c r="E153" s="208">
        <v>2093624.5</v>
      </c>
      <c r="F153" s="134">
        <f t="shared" si="21"/>
        <v>0.23505934325854516</v>
      </c>
      <c r="G153" s="219">
        <f t="shared" si="22"/>
        <v>0.24344886595641657</v>
      </c>
      <c r="H153" s="125"/>
    </row>
    <row r="154" spans="1:8" ht="15.75">
      <c r="A154" s="132"/>
      <c r="B154" s="133">
        <f>DATE(2012,12,1)</f>
        <v>41244</v>
      </c>
      <c r="C154" s="208">
        <v>11755631</v>
      </c>
      <c r="D154" s="208">
        <v>2683213</v>
      </c>
      <c r="E154" s="208">
        <v>2433423</v>
      </c>
      <c r="F154" s="134">
        <f t="shared" si="21"/>
        <v>0.10264964208853126</v>
      </c>
      <c r="G154" s="219">
        <f t="shared" si="22"/>
        <v>0.22824916841979814</v>
      </c>
      <c r="H154" s="125"/>
    </row>
    <row r="155" spans="1:8" ht="15.75">
      <c r="A155" s="132"/>
      <c r="B155" s="133">
        <f>DATE(2013,1,1)</f>
        <v>41275</v>
      </c>
      <c r="C155" s="208">
        <v>10474561.5</v>
      </c>
      <c r="D155" s="208">
        <v>1953011.7</v>
      </c>
      <c r="E155" s="208">
        <v>2120080</v>
      </c>
      <c r="F155" s="134">
        <f t="shared" si="21"/>
        <v>-0.07880282819516247</v>
      </c>
      <c r="G155" s="219">
        <f t="shared" si="22"/>
        <v>0.1864528362356744</v>
      </c>
      <c r="H155" s="125"/>
    </row>
    <row r="156" spans="1:8" ht="15.75">
      <c r="A156" s="132"/>
      <c r="B156" s="133">
        <f>DATE(2013,2,1)</f>
        <v>41306</v>
      </c>
      <c r="C156" s="208">
        <v>10228045</v>
      </c>
      <c r="D156" s="208">
        <v>2222927.9</v>
      </c>
      <c r="E156" s="208">
        <v>2125522.9</v>
      </c>
      <c r="F156" s="134">
        <f t="shared" si="21"/>
        <v>0.04582637053686883</v>
      </c>
      <c r="G156" s="219">
        <f t="shared" si="22"/>
        <v>0.21733653889868493</v>
      </c>
      <c r="H156" s="125"/>
    </row>
    <row r="157" spans="1:8" ht="15.75">
      <c r="A157" s="132"/>
      <c r="B157" s="133">
        <f>DATE(2013,3,1)</f>
        <v>41334</v>
      </c>
      <c r="C157" s="208">
        <v>12024772</v>
      </c>
      <c r="D157" s="208">
        <v>2406858</v>
      </c>
      <c r="E157" s="208">
        <v>2476485.5</v>
      </c>
      <c r="F157" s="134">
        <f t="shared" si="21"/>
        <v>-0.02811544828346461</v>
      </c>
      <c r="G157" s="219">
        <f t="shared" si="22"/>
        <v>0.20015830653587444</v>
      </c>
      <c r="H157" s="125"/>
    </row>
    <row r="158" spans="1:8" ht="15.75">
      <c r="A158" s="132"/>
      <c r="B158" s="133">
        <f>DATE(2013,4,1)</f>
        <v>41365</v>
      </c>
      <c r="C158" s="208">
        <v>11183399.25</v>
      </c>
      <c r="D158" s="208">
        <v>1819262.75</v>
      </c>
      <c r="E158" s="208">
        <v>2060733.4</v>
      </c>
      <c r="F158" s="134">
        <f t="shared" si="21"/>
        <v>-0.11717704483267943</v>
      </c>
      <c r="G158" s="219">
        <f t="shared" si="22"/>
        <v>0.16267529302416706</v>
      </c>
      <c r="H158" s="125"/>
    </row>
    <row r="159" spans="1:8" ht="15.75" thickBot="1">
      <c r="A159" s="135"/>
      <c r="B159" s="136"/>
      <c r="C159" s="208"/>
      <c r="D159" s="208"/>
      <c r="E159" s="208"/>
      <c r="F159" s="134"/>
      <c r="G159" s="219"/>
      <c r="H159" s="125"/>
    </row>
    <row r="160" spans="1:8" ht="17.25" thickBot="1" thickTop="1">
      <c r="A160" s="143" t="s">
        <v>14</v>
      </c>
      <c r="B160" s="144"/>
      <c r="C160" s="210">
        <f>SUM(C149:C159)</f>
        <v>107803631.25</v>
      </c>
      <c r="D160" s="211">
        <f>SUM(D149:D159)</f>
        <v>21570083.349999998</v>
      </c>
      <c r="E160" s="210">
        <f>SUM(E149:E159)</f>
        <v>21588314.9</v>
      </c>
      <c r="F160" s="145">
        <f>(+D160-E160)/E160</f>
        <v>-0.0008445101011566561</v>
      </c>
      <c r="G160" s="221">
        <f>D160/C160</f>
        <v>0.20008679763280235</v>
      </c>
      <c r="H160" s="125"/>
    </row>
    <row r="161" spans="1:8" ht="16.5" thickTop="1">
      <c r="A161" s="132"/>
      <c r="B161" s="136"/>
      <c r="C161" s="208"/>
      <c r="D161" s="208"/>
      <c r="E161" s="208"/>
      <c r="F161" s="134"/>
      <c r="G161" s="222"/>
      <c r="H161" s="125"/>
    </row>
    <row r="162" spans="1:8" ht="15.75">
      <c r="A162" s="132" t="s">
        <v>70</v>
      </c>
      <c r="B162" s="133">
        <f>DATE(2012,7,1)</f>
        <v>41091</v>
      </c>
      <c r="C162" s="208">
        <v>1039679</v>
      </c>
      <c r="D162" s="208">
        <v>276915.5</v>
      </c>
      <c r="E162" s="208">
        <v>0</v>
      </c>
      <c r="F162" s="134">
        <v>1</v>
      </c>
      <c r="G162" s="219">
        <f aca="true" t="shared" si="23" ref="G162:G171">D162/C162</f>
        <v>0.26634711290696456</v>
      </c>
      <c r="H162" s="125"/>
    </row>
    <row r="163" spans="1:8" ht="15.75">
      <c r="A163" s="132"/>
      <c r="B163" s="133">
        <f>DATE(2012,8,1)</f>
        <v>41122</v>
      </c>
      <c r="C163" s="208">
        <v>1050414</v>
      </c>
      <c r="D163" s="208">
        <v>214993</v>
      </c>
      <c r="E163" s="208">
        <v>0</v>
      </c>
      <c r="F163" s="134">
        <v>1</v>
      </c>
      <c r="G163" s="219">
        <f t="shared" si="23"/>
        <v>0.20467453784888626</v>
      </c>
      <c r="H163" s="125"/>
    </row>
    <row r="164" spans="1:8" ht="15.75">
      <c r="A164" s="132"/>
      <c r="B164" s="133">
        <f>DATE(2012,9,1)</f>
        <v>41153</v>
      </c>
      <c r="C164" s="208">
        <v>1025560</v>
      </c>
      <c r="D164" s="208">
        <v>235157</v>
      </c>
      <c r="E164" s="208">
        <v>18189.5</v>
      </c>
      <c r="F164" s="134">
        <f aca="true" t="shared" si="24" ref="F164:F171">(+D164-E164)/E164</f>
        <v>11.928172846972155</v>
      </c>
      <c r="G164" s="219">
        <f t="shared" si="23"/>
        <v>0.2292961893989625</v>
      </c>
      <c r="H164" s="125"/>
    </row>
    <row r="165" spans="1:8" ht="15.75">
      <c r="A165" s="132"/>
      <c r="B165" s="133">
        <f>DATE(2012,10,1)</f>
        <v>41183</v>
      </c>
      <c r="C165" s="208">
        <v>1044494.5</v>
      </c>
      <c r="D165" s="208">
        <v>273446</v>
      </c>
      <c r="E165" s="208">
        <v>251492.5</v>
      </c>
      <c r="F165" s="134">
        <f t="shared" si="24"/>
        <v>0.08729286161615157</v>
      </c>
      <c r="G165" s="219">
        <f t="shared" si="23"/>
        <v>0.26179745321780057</v>
      </c>
      <c r="H165" s="125"/>
    </row>
    <row r="166" spans="1:8" ht="15.75">
      <c r="A166" s="132"/>
      <c r="B166" s="133">
        <f>DATE(2012,11,1)</f>
        <v>41214</v>
      </c>
      <c r="C166" s="208">
        <v>1128745</v>
      </c>
      <c r="D166" s="208">
        <v>276452</v>
      </c>
      <c r="E166" s="208">
        <v>291297.5</v>
      </c>
      <c r="F166" s="134">
        <f t="shared" si="24"/>
        <v>-0.05096336219843974</v>
      </c>
      <c r="G166" s="219">
        <f t="shared" si="23"/>
        <v>0.24491980030919294</v>
      </c>
      <c r="H166" s="125"/>
    </row>
    <row r="167" spans="1:8" ht="15.75">
      <c r="A167" s="132"/>
      <c r="B167" s="133">
        <f>DATE(2012,12,1)</f>
        <v>41244</v>
      </c>
      <c r="C167" s="208">
        <v>1102301</v>
      </c>
      <c r="D167" s="208">
        <v>277788</v>
      </c>
      <c r="E167" s="208">
        <v>319579.5</v>
      </c>
      <c r="F167" s="134">
        <f t="shared" si="24"/>
        <v>-0.13077027781819547</v>
      </c>
      <c r="G167" s="219">
        <f t="shared" si="23"/>
        <v>0.2520073918104039</v>
      </c>
      <c r="H167" s="125"/>
    </row>
    <row r="168" spans="1:8" ht="15.75">
      <c r="A168" s="132"/>
      <c r="B168" s="133">
        <f>DATE(2013,1,1)</f>
        <v>41275</v>
      </c>
      <c r="C168" s="208">
        <v>903774</v>
      </c>
      <c r="D168" s="208">
        <v>251234.5</v>
      </c>
      <c r="E168" s="208">
        <v>199372.5</v>
      </c>
      <c r="F168" s="134">
        <f t="shared" si="24"/>
        <v>0.26012614578239224</v>
      </c>
      <c r="G168" s="219">
        <f t="shared" si="23"/>
        <v>0.2779837658529677</v>
      </c>
      <c r="H168" s="125"/>
    </row>
    <row r="169" spans="1:8" ht="15.75">
      <c r="A169" s="132"/>
      <c r="B169" s="133">
        <f>DATE(2013,2,1)</f>
        <v>41306</v>
      </c>
      <c r="C169" s="208">
        <v>944378</v>
      </c>
      <c r="D169" s="208">
        <v>210640</v>
      </c>
      <c r="E169" s="208">
        <v>284163.5</v>
      </c>
      <c r="F169" s="134">
        <f t="shared" si="24"/>
        <v>-0.25873660762202044</v>
      </c>
      <c r="G169" s="219">
        <f t="shared" si="23"/>
        <v>0.22304628019712447</v>
      </c>
      <c r="H169" s="125"/>
    </row>
    <row r="170" spans="1:8" ht="15.75">
      <c r="A170" s="132"/>
      <c r="B170" s="133">
        <f>DATE(2013,3,1)</f>
        <v>41334</v>
      </c>
      <c r="C170" s="208">
        <v>1174558</v>
      </c>
      <c r="D170" s="208">
        <v>263756.5</v>
      </c>
      <c r="E170" s="208">
        <v>265955.5</v>
      </c>
      <c r="F170" s="134">
        <f t="shared" si="24"/>
        <v>-0.008268300523959835</v>
      </c>
      <c r="G170" s="219">
        <f t="shared" si="23"/>
        <v>0.22455808908542618</v>
      </c>
      <c r="H170" s="125"/>
    </row>
    <row r="171" spans="1:8" ht="15.75">
      <c r="A171" s="132"/>
      <c r="B171" s="133">
        <f>DATE(2013,4,1)</f>
        <v>41365</v>
      </c>
      <c r="C171" s="208">
        <v>938217</v>
      </c>
      <c r="D171" s="208">
        <v>241259.5</v>
      </c>
      <c r="E171" s="208">
        <v>278810.5</v>
      </c>
      <c r="F171" s="134">
        <f t="shared" si="24"/>
        <v>-0.13468287600359383</v>
      </c>
      <c r="G171" s="219">
        <f t="shared" si="23"/>
        <v>0.25714680079341984</v>
      </c>
      <c r="H171" s="125"/>
    </row>
    <row r="172" spans="1:8" ht="15.75" thickBot="1">
      <c r="A172" s="135"/>
      <c r="B172" s="136"/>
      <c r="C172" s="208"/>
      <c r="D172" s="208"/>
      <c r="E172" s="208"/>
      <c r="F172" s="134"/>
      <c r="G172" s="219"/>
      <c r="H172" s="125"/>
    </row>
    <row r="173" spans="1:8" ht="17.25" thickBot="1" thickTop="1">
      <c r="A173" s="137" t="s">
        <v>14</v>
      </c>
      <c r="B173" s="138"/>
      <c r="C173" s="205">
        <f>SUM(C162:C172)</f>
        <v>10352120.5</v>
      </c>
      <c r="D173" s="211">
        <f>SUM(D162:D172)</f>
        <v>2521642</v>
      </c>
      <c r="E173" s="211">
        <f>SUM(E162:E172)</f>
        <v>1908861</v>
      </c>
      <c r="F173" s="139">
        <v>1</v>
      </c>
      <c r="G173" s="221">
        <f>D173/C173</f>
        <v>0.24358700229580982</v>
      </c>
      <c r="H173" s="125"/>
    </row>
    <row r="174" spans="1:8" ht="16.5" thickBot="1" thickTop="1">
      <c r="A174" s="149"/>
      <c r="B174" s="141"/>
      <c r="C174" s="209"/>
      <c r="D174" s="209"/>
      <c r="E174" s="209"/>
      <c r="F174" s="142"/>
      <c r="G174" s="220"/>
      <c r="H174" s="125"/>
    </row>
    <row r="175" spans="1:8" ht="17.25" thickBot="1" thickTop="1">
      <c r="A175" s="150" t="s">
        <v>41</v>
      </c>
      <c r="B175" s="123"/>
      <c r="C175" s="205">
        <f>C173+C160+C121+C95+C72+C46+C20+C59+C147+C33+C108+C134+C82</f>
        <v>827821594.2</v>
      </c>
      <c r="D175" s="205">
        <f>D173+D160+D121+D95+D72+D46+D20+D59+D147+D33+D108+D134+D82</f>
        <v>176148993.83999997</v>
      </c>
      <c r="E175" s="205">
        <f>E173+E160+E121+E95+E72+E46+E20+E59+E147+E33+E108+E134+E82</f>
        <v>170897554.84</v>
      </c>
      <c r="F175" s="139">
        <f>(+D175-E175)/E175</f>
        <v>0.030728578913352754</v>
      </c>
      <c r="G175" s="216">
        <f>D175/C175</f>
        <v>0.21278617889912488</v>
      </c>
      <c r="H175" s="125"/>
    </row>
    <row r="176" spans="1:8" ht="17.25" thickBot="1" thickTop="1">
      <c r="A176" s="150"/>
      <c r="B176" s="123"/>
      <c r="C176" s="205"/>
      <c r="D176" s="205"/>
      <c r="E176" s="205"/>
      <c r="F176" s="139"/>
      <c r="G176" s="216"/>
      <c r="H176" s="125"/>
    </row>
    <row r="177" spans="1:8" ht="17.25" thickBot="1" thickTop="1">
      <c r="A177" s="271" t="s">
        <v>42</v>
      </c>
      <c r="B177" s="272"/>
      <c r="C177" s="210">
        <f>+C18+C31+C44+C57+C70+C80+C93+C106+C119+C132+C145+C158+C171</f>
        <v>85014099.56</v>
      </c>
      <c r="D177" s="210">
        <f>+D18+D31+D44+D57+D70+D80+D93+D106+D119+D132+D145+D158+D171</f>
        <v>17561385.74</v>
      </c>
      <c r="E177" s="210">
        <f>+E18+E31+E44+E57+E70+E80+E93+E106+E119+E132+E145+E158+E171</f>
        <v>17957132.9</v>
      </c>
      <c r="F177" s="145">
        <f>(+D177-E177)/E177</f>
        <v>-0.022038437995856242</v>
      </c>
      <c r="G177" s="221">
        <f>D177/C177</f>
        <v>0.20657027282404822</v>
      </c>
      <c r="H177" s="125"/>
    </row>
    <row r="178" spans="1:8" ht="16.5" thickTop="1">
      <c r="A178" s="260"/>
      <c r="B178" s="262"/>
      <c r="C178" s="263"/>
      <c r="D178" s="263"/>
      <c r="E178" s="263"/>
      <c r="F178" s="264"/>
      <c r="G178" s="261"/>
      <c r="H178" s="261"/>
    </row>
    <row r="179" spans="1:18" s="3" customFormat="1" ht="15.75">
      <c r="A179" s="280" t="s">
        <v>66</v>
      </c>
      <c r="B179" s="265"/>
      <c r="C179" s="266"/>
      <c r="D179" s="265"/>
      <c r="E179" s="265"/>
      <c r="F179" s="265"/>
      <c r="G179" s="265"/>
      <c r="H179" s="265"/>
      <c r="I179" s="265"/>
      <c r="J179" s="265"/>
      <c r="K179" s="266"/>
      <c r="L179" s="266"/>
      <c r="M179" s="265"/>
      <c r="R179" s="2"/>
    </row>
    <row r="180" spans="1:18" s="3" customFormat="1" ht="15.75">
      <c r="A180" s="260" t="s">
        <v>65</v>
      </c>
      <c r="B180" s="262"/>
      <c r="C180" s="263"/>
      <c r="D180" s="263"/>
      <c r="E180" s="263"/>
      <c r="F180" s="264"/>
      <c r="G180" s="261"/>
      <c r="H180" s="261"/>
      <c r="I180" s="265"/>
      <c r="J180" s="265"/>
      <c r="K180" s="266"/>
      <c r="L180" s="266"/>
      <c r="M180" s="265"/>
      <c r="R180" s="2"/>
    </row>
    <row r="181" spans="1:18" s="3" customFormat="1" ht="15.75">
      <c r="A181" s="260" t="s">
        <v>71</v>
      </c>
      <c r="B181" s="262"/>
      <c r="C181" s="263"/>
      <c r="D181" s="263"/>
      <c r="E181" s="263"/>
      <c r="F181" s="264"/>
      <c r="G181" s="261"/>
      <c r="H181" s="261"/>
      <c r="I181" s="265"/>
      <c r="J181" s="265"/>
      <c r="K181" s="266"/>
      <c r="L181" s="266"/>
      <c r="M181" s="265"/>
      <c r="R181" s="2"/>
    </row>
    <row r="182" spans="1:7" ht="18.75">
      <c r="A182" s="269" t="s">
        <v>43</v>
      </c>
      <c r="B182" s="118"/>
      <c r="C182" s="212"/>
      <c r="D182" s="212"/>
      <c r="E182" s="212"/>
      <c r="F182" s="151"/>
      <c r="G182" s="224"/>
    </row>
    <row r="183" ht="15.75">
      <c r="A183" s="73"/>
    </row>
  </sheetData>
  <sheetProtection/>
  <printOptions horizontalCentered="1"/>
  <pageMargins left="0.7" right="0.25" top="0.319444444444444" bottom="0.2" header="0.5" footer="0.5"/>
  <pageSetup horizontalDpi="600" verticalDpi="600" orientation="landscape" scale="65" r:id="rId1"/>
  <rowBreaks count="3" manualBreakCount="3">
    <brk id="46" max="7" man="1"/>
    <brk id="95" max="7" man="1"/>
    <brk id="1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5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5" customWidth="1"/>
    <col min="2" max="2" width="9.6640625" style="155" customWidth="1"/>
    <col min="3" max="3" width="18.3359375" style="237" customWidth="1"/>
    <col min="4" max="4" width="16.4453125" style="237" customWidth="1"/>
    <col min="5" max="5" width="15.5546875" style="237" customWidth="1"/>
    <col min="6" max="6" width="9.6640625" style="155" customWidth="1"/>
    <col min="7" max="7" width="9.6640625" style="256" customWidth="1"/>
    <col min="8" max="8" width="10.88671875" style="256" customWidth="1"/>
    <col min="9" max="9" width="1.66796875" style="155" customWidth="1"/>
    <col min="10" max="16384" width="9.6640625" style="155" customWidth="1"/>
  </cols>
  <sheetData>
    <row r="1" spans="1:9" ht="18">
      <c r="A1" s="152" t="s">
        <v>0</v>
      </c>
      <c r="B1" s="153"/>
      <c r="C1" s="226"/>
      <c r="D1" s="226"/>
      <c r="E1" s="226"/>
      <c r="F1" s="153"/>
      <c r="G1" s="238"/>
      <c r="H1" s="238"/>
      <c r="I1" s="154"/>
    </row>
    <row r="2" spans="1:9" ht="18.75">
      <c r="A2" s="156" t="s">
        <v>44</v>
      </c>
      <c r="B2" s="153"/>
      <c r="C2" s="226"/>
      <c r="D2" s="226"/>
      <c r="E2" s="226"/>
      <c r="F2" s="153"/>
      <c r="G2" s="238"/>
      <c r="H2" s="238"/>
      <c r="I2" s="154"/>
    </row>
    <row r="3" spans="1:9" ht="18">
      <c r="A3" s="152" t="s">
        <v>45</v>
      </c>
      <c r="B3" s="153"/>
      <c r="C3" s="226"/>
      <c r="D3" s="226"/>
      <c r="E3" s="226"/>
      <c r="F3" s="153"/>
      <c r="G3" s="238"/>
      <c r="H3" s="238"/>
      <c r="I3" s="154"/>
    </row>
    <row r="4" spans="1:9" ht="18">
      <c r="A4" s="152" t="s">
        <v>81</v>
      </c>
      <c r="B4" s="153"/>
      <c r="C4" s="226"/>
      <c r="D4" s="226"/>
      <c r="E4" s="226"/>
      <c r="F4" s="153"/>
      <c r="G4" s="238"/>
      <c r="H4" s="238"/>
      <c r="I4" s="154"/>
    </row>
    <row r="5" spans="1:9" ht="15">
      <c r="A5" s="157" t="s">
        <v>77</v>
      </c>
      <c r="B5" s="153"/>
      <c r="C5" s="226"/>
      <c r="D5" s="226"/>
      <c r="E5" s="226"/>
      <c r="F5" s="153"/>
      <c r="G5" s="238"/>
      <c r="H5" s="238"/>
      <c r="I5" s="154"/>
    </row>
    <row r="6" spans="1:9" ht="16.5" thickBot="1">
      <c r="A6" s="153"/>
      <c r="B6" s="153"/>
      <c r="C6" s="226"/>
      <c r="D6" s="226"/>
      <c r="E6" s="226"/>
      <c r="F6" s="153"/>
      <c r="G6" s="239" t="s">
        <v>46</v>
      </c>
      <c r="H6" s="239"/>
      <c r="I6" s="154"/>
    </row>
    <row r="7" spans="1:9" ht="16.5" thickTop="1">
      <c r="A7" s="158"/>
      <c r="B7" s="159" t="s">
        <v>2</v>
      </c>
      <c r="C7" s="227" t="s">
        <v>47</v>
      </c>
      <c r="D7" s="227" t="s">
        <v>33</v>
      </c>
      <c r="E7" s="227" t="s">
        <v>3</v>
      </c>
      <c r="F7" s="160"/>
      <c r="G7" s="240" t="s">
        <v>34</v>
      </c>
      <c r="H7" s="257" t="s">
        <v>34</v>
      </c>
      <c r="I7" s="161"/>
    </row>
    <row r="8" spans="1:9" ht="16.5" thickBot="1">
      <c r="A8" s="162" t="s">
        <v>5</v>
      </c>
      <c r="B8" s="163" t="s">
        <v>6</v>
      </c>
      <c r="C8" s="228" t="s">
        <v>48</v>
      </c>
      <c r="D8" s="228" t="s">
        <v>49</v>
      </c>
      <c r="E8" s="228" t="s">
        <v>49</v>
      </c>
      <c r="F8" s="164" t="s">
        <v>8</v>
      </c>
      <c r="G8" s="242" t="s">
        <v>37</v>
      </c>
      <c r="H8" s="258" t="s">
        <v>50</v>
      </c>
      <c r="I8" s="161"/>
    </row>
    <row r="9" spans="1:9" ht="16.5" thickTop="1">
      <c r="A9" s="165"/>
      <c r="B9" s="166"/>
      <c r="C9" s="229"/>
      <c r="D9" s="229"/>
      <c r="E9" s="229"/>
      <c r="F9" s="167"/>
      <c r="G9" s="243"/>
      <c r="H9" s="244"/>
      <c r="I9" s="161"/>
    </row>
    <row r="10" spans="1:9" ht="15.75">
      <c r="A10" s="168" t="s">
        <v>38</v>
      </c>
      <c r="B10" s="169">
        <f>DATE(12,7,1)</f>
        <v>4566</v>
      </c>
      <c r="C10" s="230">
        <v>123316197.99</v>
      </c>
      <c r="D10" s="230">
        <v>11541084.7</v>
      </c>
      <c r="E10" s="230">
        <v>15503218.7</v>
      </c>
      <c r="F10" s="170">
        <f aca="true" t="shared" si="0" ref="F10:F19">(+D10-E10)/E10</f>
        <v>-0.2555684775317012</v>
      </c>
      <c r="G10" s="245">
        <f aca="true" t="shared" si="1" ref="G10:G19">D10/C10</f>
        <v>0.0935893652911347</v>
      </c>
      <c r="H10" s="246">
        <f aca="true" t="shared" si="2" ref="H10:H19">1-G10</f>
        <v>0.9064106347088653</v>
      </c>
      <c r="I10" s="161"/>
    </row>
    <row r="11" spans="1:9" ht="15.75">
      <c r="A11" s="168"/>
      <c r="B11" s="169">
        <f>DATE(12,8,1)</f>
        <v>4597</v>
      </c>
      <c r="C11" s="230">
        <v>126877898.22</v>
      </c>
      <c r="D11" s="230">
        <v>11710801.95</v>
      </c>
      <c r="E11" s="230">
        <v>14516906.17</v>
      </c>
      <c r="F11" s="170">
        <f t="shared" si="0"/>
        <v>-0.19329905333403424</v>
      </c>
      <c r="G11" s="245">
        <f t="shared" si="1"/>
        <v>0.09229977887633391</v>
      </c>
      <c r="H11" s="246">
        <f t="shared" si="2"/>
        <v>0.9077002211236661</v>
      </c>
      <c r="I11" s="161"/>
    </row>
    <row r="12" spans="1:9" ht="15.75">
      <c r="A12" s="168"/>
      <c r="B12" s="169">
        <f>DATE(12,9,1)</f>
        <v>4628</v>
      </c>
      <c r="C12" s="230">
        <v>125579646</v>
      </c>
      <c r="D12" s="230">
        <v>11515904.73</v>
      </c>
      <c r="E12" s="230">
        <v>14324107.9</v>
      </c>
      <c r="F12" s="170">
        <f t="shared" si="0"/>
        <v>-0.19604733429856389</v>
      </c>
      <c r="G12" s="245">
        <f t="shared" si="1"/>
        <v>0.0917020002588636</v>
      </c>
      <c r="H12" s="246">
        <f t="shared" si="2"/>
        <v>0.9082979997411365</v>
      </c>
      <c r="I12" s="161"/>
    </row>
    <row r="13" spans="1:9" ht="15.75">
      <c r="A13" s="168"/>
      <c r="B13" s="169">
        <f>DATE(12,10,1)</f>
        <v>4658</v>
      </c>
      <c r="C13" s="230">
        <v>118664620.01</v>
      </c>
      <c r="D13" s="230">
        <v>11062301.82</v>
      </c>
      <c r="E13" s="230">
        <v>14425174.54</v>
      </c>
      <c r="F13" s="170">
        <f t="shared" si="0"/>
        <v>-0.23312527073242603</v>
      </c>
      <c r="G13" s="245">
        <f t="shared" si="1"/>
        <v>0.09322325238194643</v>
      </c>
      <c r="H13" s="246">
        <f t="shared" si="2"/>
        <v>0.9067767476180536</v>
      </c>
      <c r="I13" s="161"/>
    </row>
    <row r="14" spans="1:9" ht="15.75">
      <c r="A14" s="168"/>
      <c r="B14" s="169">
        <f>DATE(12,11,1)</f>
        <v>4689</v>
      </c>
      <c r="C14" s="230">
        <v>121015107.05</v>
      </c>
      <c r="D14" s="230">
        <v>11211718.15</v>
      </c>
      <c r="E14" s="230">
        <v>14128446.8</v>
      </c>
      <c r="F14" s="170">
        <f t="shared" si="0"/>
        <v>-0.2064436870725238</v>
      </c>
      <c r="G14" s="245">
        <f t="shared" si="1"/>
        <v>0.09264726052233824</v>
      </c>
      <c r="H14" s="246">
        <f t="shared" si="2"/>
        <v>0.9073527394776617</v>
      </c>
      <c r="I14" s="161"/>
    </row>
    <row r="15" spans="1:9" ht="15.75">
      <c r="A15" s="168"/>
      <c r="B15" s="169">
        <f>DATE(12,12,1)</f>
        <v>4719</v>
      </c>
      <c r="C15" s="230">
        <v>121651713.79</v>
      </c>
      <c r="D15" s="230">
        <v>11736132.6</v>
      </c>
      <c r="E15" s="230">
        <v>15210097.2</v>
      </c>
      <c r="F15" s="170">
        <f t="shared" si="0"/>
        <v>-0.22839857985917406</v>
      </c>
      <c r="G15" s="245">
        <f t="shared" si="1"/>
        <v>0.09647322042876745</v>
      </c>
      <c r="H15" s="246">
        <f t="shared" si="2"/>
        <v>0.9035267795712325</v>
      </c>
      <c r="I15" s="161"/>
    </row>
    <row r="16" spans="1:9" ht="15.75">
      <c r="A16" s="168"/>
      <c r="B16" s="169">
        <f>DATE(13,1,1)</f>
        <v>4750</v>
      </c>
      <c r="C16" s="230">
        <v>116601009.34</v>
      </c>
      <c r="D16" s="230">
        <v>11140090.55</v>
      </c>
      <c r="E16" s="230">
        <v>14402333.3</v>
      </c>
      <c r="F16" s="170">
        <f t="shared" si="0"/>
        <v>-0.22650793326661867</v>
      </c>
      <c r="G16" s="245">
        <f t="shared" si="1"/>
        <v>0.09554025829670404</v>
      </c>
      <c r="H16" s="246">
        <f t="shared" si="2"/>
        <v>0.904459741703296</v>
      </c>
      <c r="I16" s="161"/>
    </row>
    <row r="17" spans="1:9" ht="15.75">
      <c r="A17" s="168"/>
      <c r="B17" s="169">
        <f>DATE(13,2,1)</f>
        <v>4781</v>
      </c>
      <c r="C17" s="230">
        <v>115623081.83</v>
      </c>
      <c r="D17" s="230">
        <v>11164553.52</v>
      </c>
      <c r="E17" s="230">
        <v>13370818.44</v>
      </c>
      <c r="F17" s="170">
        <f t="shared" si="0"/>
        <v>-0.1650059740097705</v>
      </c>
      <c r="G17" s="245">
        <f t="shared" si="1"/>
        <v>0.09655990260158592</v>
      </c>
      <c r="H17" s="246">
        <f t="shared" si="2"/>
        <v>0.903440097398414</v>
      </c>
      <c r="I17" s="161"/>
    </row>
    <row r="18" spans="1:9" ht="15.75">
      <c r="A18" s="168"/>
      <c r="B18" s="169">
        <f>DATE(13,3,1)</f>
        <v>4809</v>
      </c>
      <c r="C18" s="230">
        <v>140951472.85</v>
      </c>
      <c r="D18" s="230">
        <v>13176884.06</v>
      </c>
      <c r="E18" s="230">
        <v>12682793.86</v>
      </c>
      <c r="F18" s="170">
        <f t="shared" si="0"/>
        <v>0.03895752035821555</v>
      </c>
      <c r="G18" s="245">
        <f t="shared" si="1"/>
        <v>0.0934852527154703</v>
      </c>
      <c r="H18" s="246">
        <f t="shared" si="2"/>
        <v>0.9065147472845297</v>
      </c>
      <c r="I18" s="161"/>
    </row>
    <row r="19" spans="1:9" ht="15.75">
      <c r="A19" s="168"/>
      <c r="B19" s="169">
        <f>DATE(13,4,1)</f>
        <v>4840</v>
      </c>
      <c r="C19" s="230">
        <v>122907733.05</v>
      </c>
      <c r="D19" s="230">
        <v>11633516.22</v>
      </c>
      <c r="E19" s="230">
        <v>11174874.95</v>
      </c>
      <c r="F19" s="170">
        <f t="shared" si="0"/>
        <v>0.04104218365324987</v>
      </c>
      <c r="G19" s="245">
        <f t="shared" si="1"/>
        <v>0.0946524350527837</v>
      </c>
      <c r="H19" s="246">
        <f t="shared" si="2"/>
        <v>0.9053475649472162</v>
      </c>
      <c r="I19" s="161"/>
    </row>
    <row r="20" spans="1:9" ht="15.75" thickBot="1">
      <c r="A20" s="171"/>
      <c r="B20" s="172"/>
      <c r="C20" s="230"/>
      <c r="D20" s="230"/>
      <c r="E20" s="230"/>
      <c r="F20" s="170"/>
      <c r="G20" s="245"/>
      <c r="H20" s="246"/>
      <c r="I20" s="161"/>
    </row>
    <row r="21" spans="1:9" ht="17.25" thickBot="1" thickTop="1">
      <c r="A21" s="173" t="s">
        <v>14</v>
      </c>
      <c r="B21" s="159"/>
      <c r="C21" s="227">
        <f>SUM(C10:C20)</f>
        <v>1233188480.1299999</v>
      </c>
      <c r="D21" s="227">
        <f>SUM(D10:D20)</f>
        <v>115892988.29999998</v>
      </c>
      <c r="E21" s="227">
        <f>SUM(E10:E20)</f>
        <v>139738771.85999998</v>
      </c>
      <c r="F21" s="174">
        <f>(+D21-E21)/E21</f>
        <v>-0.17064543535483742</v>
      </c>
      <c r="G21" s="240">
        <f>D21/C21</f>
        <v>0.09397832542822879</v>
      </c>
      <c r="H21" s="241">
        <f>1-G21</f>
        <v>0.9060216745717712</v>
      </c>
      <c r="I21" s="161"/>
    </row>
    <row r="22" spans="1:9" ht="15.75" thickTop="1">
      <c r="A22" s="175"/>
      <c r="B22" s="176"/>
      <c r="C22" s="231"/>
      <c r="D22" s="231"/>
      <c r="E22" s="231"/>
      <c r="F22" s="177"/>
      <c r="G22" s="247"/>
      <c r="H22" s="248"/>
      <c r="I22" s="161"/>
    </row>
    <row r="23" spans="1:9" ht="15.75">
      <c r="A23" s="19" t="s">
        <v>51</v>
      </c>
      <c r="B23" s="169">
        <f>DATE(12,7,1)</f>
        <v>4566</v>
      </c>
      <c r="C23" s="230">
        <v>79801888.96</v>
      </c>
      <c r="D23" s="230">
        <v>6959284.96</v>
      </c>
      <c r="E23" s="230">
        <v>7114746.72</v>
      </c>
      <c r="F23" s="170">
        <f aca="true" t="shared" si="3" ref="F23:F32">(+D23-E23)/E23</f>
        <v>-0.021850638697086294</v>
      </c>
      <c r="G23" s="245">
        <f aca="true" t="shared" si="4" ref="G23:G32">D23/C23</f>
        <v>0.08720702041888108</v>
      </c>
      <c r="H23" s="246">
        <f aca="true" t="shared" si="5" ref="H23:H32">1-G23</f>
        <v>0.9127929795811189</v>
      </c>
      <c r="I23" s="161"/>
    </row>
    <row r="24" spans="1:9" ht="15.75">
      <c r="A24" s="19"/>
      <c r="B24" s="169">
        <f>DATE(12,8,1)</f>
        <v>4597</v>
      </c>
      <c r="C24" s="230">
        <v>77517244.46</v>
      </c>
      <c r="D24" s="230">
        <v>6844953.8</v>
      </c>
      <c r="E24" s="230">
        <v>6378278.9</v>
      </c>
      <c r="F24" s="170">
        <f t="shared" si="3"/>
        <v>0.07316627374196501</v>
      </c>
      <c r="G24" s="245">
        <f t="shared" si="4"/>
        <v>0.08830233643730839</v>
      </c>
      <c r="H24" s="246">
        <f t="shared" si="5"/>
        <v>0.9116976635626917</v>
      </c>
      <c r="I24" s="161"/>
    </row>
    <row r="25" spans="1:9" ht="15.75">
      <c r="A25" s="19"/>
      <c r="B25" s="169">
        <f>DATE(12,9,1)</f>
        <v>4628</v>
      </c>
      <c r="C25" s="230">
        <v>75088531.96</v>
      </c>
      <c r="D25" s="230">
        <v>6525426.05</v>
      </c>
      <c r="E25" s="230">
        <v>6379505.08</v>
      </c>
      <c r="F25" s="170">
        <f t="shared" si="3"/>
        <v>0.02287339976536232</v>
      </c>
      <c r="G25" s="245">
        <f t="shared" si="4"/>
        <v>0.08690309797874493</v>
      </c>
      <c r="H25" s="246">
        <f t="shared" si="5"/>
        <v>0.913096902021255</v>
      </c>
      <c r="I25" s="161"/>
    </row>
    <row r="26" spans="1:9" ht="15.75">
      <c r="A26" s="19"/>
      <c r="B26" s="169">
        <f>DATE(12,10,1)</f>
        <v>4658</v>
      </c>
      <c r="C26" s="230">
        <v>68936176.87</v>
      </c>
      <c r="D26" s="230">
        <v>6059529.78</v>
      </c>
      <c r="E26" s="230">
        <v>6326222.91</v>
      </c>
      <c r="F26" s="170">
        <f t="shared" si="3"/>
        <v>-0.042156770919094894</v>
      </c>
      <c r="G26" s="245">
        <f t="shared" si="4"/>
        <v>0.0879005778261692</v>
      </c>
      <c r="H26" s="246">
        <f t="shared" si="5"/>
        <v>0.9120994221738308</v>
      </c>
      <c r="I26" s="161"/>
    </row>
    <row r="27" spans="1:9" ht="15.75">
      <c r="A27" s="19"/>
      <c r="B27" s="169">
        <f>DATE(12,11,1)</f>
        <v>4689</v>
      </c>
      <c r="C27" s="230">
        <v>68479098.99</v>
      </c>
      <c r="D27" s="230">
        <v>5937542.73</v>
      </c>
      <c r="E27" s="230">
        <v>5840627.37</v>
      </c>
      <c r="F27" s="170">
        <f t="shared" si="3"/>
        <v>0.016593313330995868</v>
      </c>
      <c r="G27" s="245">
        <f t="shared" si="4"/>
        <v>0.08670591198735048</v>
      </c>
      <c r="H27" s="246">
        <f t="shared" si="5"/>
        <v>0.9132940880126496</v>
      </c>
      <c r="I27" s="161"/>
    </row>
    <row r="28" spans="1:9" ht="15.75">
      <c r="A28" s="19"/>
      <c r="B28" s="169">
        <f>DATE(12,12,1)</f>
        <v>4719</v>
      </c>
      <c r="C28" s="230">
        <v>69571713.71</v>
      </c>
      <c r="D28" s="230">
        <v>6122047.74</v>
      </c>
      <c r="E28" s="230">
        <v>6304210.04</v>
      </c>
      <c r="F28" s="170">
        <f t="shared" si="3"/>
        <v>-0.028895341183778168</v>
      </c>
      <c r="G28" s="245">
        <f t="shared" si="4"/>
        <v>0.08799621877245836</v>
      </c>
      <c r="H28" s="246">
        <f t="shared" si="5"/>
        <v>0.9120037812275417</v>
      </c>
      <c r="I28" s="161"/>
    </row>
    <row r="29" spans="1:9" ht="15.75">
      <c r="A29" s="19"/>
      <c r="B29" s="169">
        <f>DATE(13,1,1)</f>
        <v>4750</v>
      </c>
      <c r="C29" s="230">
        <v>64672586.51</v>
      </c>
      <c r="D29" s="230">
        <v>5687499.81</v>
      </c>
      <c r="E29" s="230">
        <v>6276106.11</v>
      </c>
      <c r="F29" s="170">
        <f t="shared" si="3"/>
        <v>-0.09378526903204329</v>
      </c>
      <c r="G29" s="245">
        <f t="shared" si="4"/>
        <v>0.08794297734049294</v>
      </c>
      <c r="H29" s="246">
        <f t="shared" si="5"/>
        <v>0.912057022659507</v>
      </c>
      <c r="I29" s="161"/>
    </row>
    <row r="30" spans="1:9" ht="15.75">
      <c r="A30" s="19"/>
      <c r="B30" s="169">
        <f>DATE(13,2,1)</f>
        <v>4781</v>
      </c>
      <c r="C30" s="230">
        <v>68798448.77</v>
      </c>
      <c r="D30" s="230">
        <v>5930231.22</v>
      </c>
      <c r="E30" s="230">
        <v>6915318.03</v>
      </c>
      <c r="F30" s="170">
        <f t="shared" si="3"/>
        <v>-0.14244996480660782</v>
      </c>
      <c r="G30" s="245">
        <f t="shared" si="4"/>
        <v>0.08619716470389249</v>
      </c>
      <c r="H30" s="246">
        <f t="shared" si="5"/>
        <v>0.9138028352961075</v>
      </c>
      <c r="I30" s="161"/>
    </row>
    <row r="31" spans="1:9" ht="15.75">
      <c r="A31" s="19"/>
      <c r="B31" s="169">
        <f>DATE(13,3,1)</f>
        <v>4809</v>
      </c>
      <c r="C31" s="230">
        <v>78894485.38</v>
      </c>
      <c r="D31" s="230">
        <v>6998209.18</v>
      </c>
      <c r="E31" s="230">
        <v>7312465.54</v>
      </c>
      <c r="F31" s="170">
        <f t="shared" si="3"/>
        <v>-0.042975431238750195</v>
      </c>
      <c r="G31" s="245">
        <f t="shared" si="4"/>
        <v>0.08870340108427995</v>
      </c>
      <c r="H31" s="246">
        <f t="shared" si="5"/>
        <v>0.91129659891572</v>
      </c>
      <c r="I31" s="161"/>
    </row>
    <row r="32" spans="1:9" ht="15.75">
      <c r="A32" s="19"/>
      <c r="B32" s="169">
        <f>DATE(13,4,1)</f>
        <v>4840</v>
      </c>
      <c r="C32" s="230">
        <v>73964521.96</v>
      </c>
      <c r="D32" s="230">
        <v>6225459.4</v>
      </c>
      <c r="E32" s="230">
        <v>6322306.43</v>
      </c>
      <c r="F32" s="170">
        <f t="shared" si="3"/>
        <v>-0.015318306866691897</v>
      </c>
      <c r="G32" s="245">
        <f t="shared" si="4"/>
        <v>0.08416818273180658</v>
      </c>
      <c r="H32" s="246">
        <f t="shared" si="5"/>
        <v>0.9158318172681934</v>
      </c>
      <c r="I32" s="161"/>
    </row>
    <row r="33" spans="1:9" ht="15.75" thickBot="1">
      <c r="A33" s="171"/>
      <c r="B33" s="169"/>
      <c r="C33" s="230"/>
      <c r="D33" s="230"/>
      <c r="E33" s="230"/>
      <c r="F33" s="170"/>
      <c r="G33" s="245"/>
      <c r="H33" s="246"/>
      <c r="I33" s="161"/>
    </row>
    <row r="34" spans="1:9" ht="17.25" thickBot="1" thickTop="1">
      <c r="A34" s="173" t="s">
        <v>14</v>
      </c>
      <c r="B34" s="159"/>
      <c r="C34" s="227">
        <f>SUM(C23:C33)</f>
        <v>725724697.57</v>
      </c>
      <c r="D34" s="227">
        <f>SUM(D23:D33)</f>
        <v>63290184.67</v>
      </c>
      <c r="E34" s="227">
        <f>SUM(E23:E33)</f>
        <v>65169787.13</v>
      </c>
      <c r="F34" s="174">
        <f>(+D34-E34)/E34</f>
        <v>-0.028841623438950165</v>
      </c>
      <c r="G34" s="240">
        <f>D34/C34</f>
        <v>0.08720963318723947</v>
      </c>
      <c r="H34" s="241">
        <f>1-G34</f>
        <v>0.9127903668127605</v>
      </c>
      <c r="I34" s="161"/>
    </row>
    <row r="35" spans="1:9" ht="15.75" thickTop="1">
      <c r="A35" s="175"/>
      <c r="B35" s="176"/>
      <c r="C35" s="231"/>
      <c r="D35" s="231"/>
      <c r="E35" s="231"/>
      <c r="F35" s="177"/>
      <c r="G35" s="247"/>
      <c r="H35" s="248"/>
      <c r="I35" s="161"/>
    </row>
    <row r="36" spans="1:9" ht="15.75">
      <c r="A36" s="19" t="s">
        <v>61</v>
      </c>
      <c r="B36" s="169">
        <f>DATE(12,7,1)</f>
        <v>4566</v>
      </c>
      <c r="C36" s="230">
        <v>25634092.78</v>
      </c>
      <c r="D36" s="230">
        <v>2868439.42</v>
      </c>
      <c r="E36" s="230">
        <v>2705764.65</v>
      </c>
      <c r="F36" s="170">
        <f aca="true" t="shared" si="6" ref="F36:F45">(+D36-E36)/E36</f>
        <v>0.06012155196129125</v>
      </c>
      <c r="G36" s="245">
        <f aca="true" t="shared" si="7" ref="G36:G45">D36/C36</f>
        <v>0.1118993929146573</v>
      </c>
      <c r="H36" s="246">
        <f aca="true" t="shared" si="8" ref="H36:H45">1-G36</f>
        <v>0.8881006070853427</v>
      </c>
      <c r="I36" s="161"/>
    </row>
    <row r="37" spans="1:9" ht="15.75">
      <c r="A37" s="19"/>
      <c r="B37" s="169">
        <f>DATE(12,8,1)</f>
        <v>4597</v>
      </c>
      <c r="C37" s="230">
        <v>25397872.48</v>
      </c>
      <c r="D37" s="230">
        <v>2732934.72</v>
      </c>
      <c r="E37" s="230">
        <v>2406758.12</v>
      </c>
      <c r="F37" s="170">
        <f t="shared" si="6"/>
        <v>0.13552529325215285</v>
      </c>
      <c r="G37" s="245">
        <f t="shared" si="7"/>
        <v>0.10760486816965073</v>
      </c>
      <c r="H37" s="246">
        <f t="shared" si="8"/>
        <v>0.8923951318303492</v>
      </c>
      <c r="I37" s="161"/>
    </row>
    <row r="38" spans="1:9" ht="15.75">
      <c r="A38" s="19"/>
      <c r="B38" s="169">
        <f>DATE(12,9,1)</f>
        <v>4628</v>
      </c>
      <c r="C38" s="230">
        <v>24079768.51</v>
      </c>
      <c r="D38" s="230">
        <v>2595910.43</v>
      </c>
      <c r="E38" s="230">
        <v>2539001.84</v>
      </c>
      <c r="F38" s="170">
        <f t="shared" si="6"/>
        <v>0.022413764773010294</v>
      </c>
      <c r="G38" s="245">
        <f t="shared" si="7"/>
        <v>0.10780462565169402</v>
      </c>
      <c r="H38" s="246">
        <f t="shared" si="8"/>
        <v>0.892195374348306</v>
      </c>
      <c r="I38" s="161"/>
    </row>
    <row r="39" spans="1:9" ht="15.75">
      <c r="A39" s="19"/>
      <c r="B39" s="169">
        <f>DATE(12,10,1)</f>
        <v>4658</v>
      </c>
      <c r="C39" s="230">
        <v>22245385.38</v>
      </c>
      <c r="D39" s="230">
        <v>2366906.62</v>
      </c>
      <c r="E39" s="230">
        <v>2486856.67</v>
      </c>
      <c r="F39" s="170">
        <f t="shared" si="6"/>
        <v>-0.0482336000490128</v>
      </c>
      <c r="G39" s="245">
        <f t="shared" si="7"/>
        <v>0.10639989281228628</v>
      </c>
      <c r="H39" s="246">
        <f t="shared" si="8"/>
        <v>0.8936001071877138</v>
      </c>
      <c r="I39" s="161"/>
    </row>
    <row r="40" spans="1:9" ht="15.75">
      <c r="A40" s="19"/>
      <c r="B40" s="169">
        <f>DATE(12,11,1)</f>
        <v>4689</v>
      </c>
      <c r="C40" s="230">
        <v>20914453.15</v>
      </c>
      <c r="D40" s="230">
        <v>2262395.17</v>
      </c>
      <c r="E40" s="230">
        <v>2332204.21</v>
      </c>
      <c r="F40" s="170">
        <f t="shared" si="6"/>
        <v>-0.029932644706099746</v>
      </c>
      <c r="G40" s="245">
        <f t="shared" si="7"/>
        <v>0.10817376642716571</v>
      </c>
      <c r="H40" s="246">
        <f t="shared" si="8"/>
        <v>0.8918262335728343</v>
      </c>
      <c r="I40" s="161"/>
    </row>
    <row r="41" spans="1:9" ht="15.75">
      <c r="A41" s="19"/>
      <c r="B41" s="169">
        <f>DATE(12,12,1)</f>
        <v>4719</v>
      </c>
      <c r="C41" s="230">
        <v>21885674.13</v>
      </c>
      <c r="D41" s="230">
        <v>2389401.57</v>
      </c>
      <c r="E41" s="230">
        <v>2671411.72</v>
      </c>
      <c r="F41" s="170">
        <f t="shared" si="6"/>
        <v>-0.10556596270379481</v>
      </c>
      <c r="G41" s="245">
        <f t="shared" si="7"/>
        <v>0.10917651226126522</v>
      </c>
      <c r="H41" s="246">
        <f t="shared" si="8"/>
        <v>0.8908234877387348</v>
      </c>
      <c r="I41" s="161"/>
    </row>
    <row r="42" spans="1:9" ht="15.75">
      <c r="A42" s="19"/>
      <c r="B42" s="169">
        <f>DATE(13,1,1)</f>
        <v>4750</v>
      </c>
      <c r="C42" s="230">
        <v>19621146.17</v>
      </c>
      <c r="D42" s="230">
        <v>2059962.94</v>
      </c>
      <c r="E42" s="230">
        <v>2427123.28</v>
      </c>
      <c r="F42" s="170">
        <f t="shared" si="6"/>
        <v>-0.15127387348861812</v>
      </c>
      <c r="G42" s="245">
        <f t="shared" si="7"/>
        <v>0.1049868811002288</v>
      </c>
      <c r="H42" s="246">
        <f t="shared" si="8"/>
        <v>0.8950131188997712</v>
      </c>
      <c r="I42" s="161"/>
    </row>
    <row r="43" spans="1:9" ht="15.75">
      <c r="A43" s="19"/>
      <c r="B43" s="169">
        <f>DATE(13,2,1)</f>
        <v>4781</v>
      </c>
      <c r="C43" s="230">
        <v>23285472.87</v>
      </c>
      <c r="D43" s="230">
        <v>2558765.54</v>
      </c>
      <c r="E43" s="230">
        <v>3196147.03</v>
      </c>
      <c r="F43" s="170">
        <f t="shared" si="6"/>
        <v>-0.19942183010272835</v>
      </c>
      <c r="G43" s="245">
        <f t="shared" si="7"/>
        <v>0.10988677594332229</v>
      </c>
      <c r="H43" s="246">
        <f t="shared" si="8"/>
        <v>0.8901132240566777</v>
      </c>
      <c r="I43" s="161"/>
    </row>
    <row r="44" spans="1:9" ht="15.75">
      <c r="A44" s="19"/>
      <c r="B44" s="169">
        <f>DATE(13,3,1)</f>
        <v>4809</v>
      </c>
      <c r="C44" s="230">
        <v>24502547.33</v>
      </c>
      <c r="D44" s="230">
        <v>2647834.39</v>
      </c>
      <c r="E44" s="230">
        <v>3007653.47</v>
      </c>
      <c r="F44" s="170">
        <f t="shared" si="6"/>
        <v>-0.11963448701422377</v>
      </c>
      <c r="G44" s="245">
        <f t="shared" si="7"/>
        <v>0.10806363739814477</v>
      </c>
      <c r="H44" s="246">
        <f t="shared" si="8"/>
        <v>0.8919363626018553</v>
      </c>
      <c r="I44" s="161"/>
    </row>
    <row r="45" spans="1:9" ht="15.75">
      <c r="A45" s="19"/>
      <c r="B45" s="169">
        <f>DATE(13,4,1)</f>
        <v>4840</v>
      </c>
      <c r="C45" s="230">
        <v>23186598.71</v>
      </c>
      <c r="D45" s="230">
        <v>2499715.01</v>
      </c>
      <c r="E45" s="230">
        <v>2715161.83</v>
      </c>
      <c r="F45" s="170">
        <f t="shared" si="6"/>
        <v>-0.07934953181041157</v>
      </c>
      <c r="G45" s="245">
        <f t="shared" si="7"/>
        <v>0.10780861139939053</v>
      </c>
      <c r="H45" s="246">
        <f t="shared" si="8"/>
        <v>0.8921913886006094</v>
      </c>
      <c r="I45" s="161"/>
    </row>
    <row r="46" spans="1:9" ht="15.75" thickBot="1">
      <c r="A46" s="171"/>
      <c r="B46" s="169"/>
      <c r="C46" s="230"/>
      <c r="D46" s="230"/>
      <c r="E46" s="230"/>
      <c r="F46" s="170"/>
      <c r="G46" s="245"/>
      <c r="H46" s="246"/>
      <c r="I46" s="161"/>
    </row>
    <row r="47" spans="1:9" ht="17.25" thickBot="1" thickTop="1">
      <c r="A47" s="178" t="s">
        <v>14</v>
      </c>
      <c r="B47" s="179"/>
      <c r="C47" s="232">
        <f>SUM(C36:C46)</f>
        <v>230753011.51000002</v>
      </c>
      <c r="D47" s="232">
        <f>SUM(D36:D46)</f>
        <v>24982265.810000002</v>
      </c>
      <c r="E47" s="232">
        <f>SUM(E36:E46)</f>
        <v>26488082.82</v>
      </c>
      <c r="F47" s="180">
        <f>(+D47-E47)/E47</f>
        <v>-0.05684884860232395</v>
      </c>
      <c r="G47" s="249">
        <f>D47/C47</f>
        <v>0.10826409435145057</v>
      </c>
      <c r="H47" s="250">
        <f>1-G47</f>
        <v>0.8917359056485494</v>
      </c>
      <c r="I47" s="161"/>
    </row>
    <row r="48" spans="1:9" ht="15.75" thickTop="1">
      <c r="A48" s="171"/>
      <c r="B48" s="172"/>
      <c r="C48" s="230"/>
      <c r="D48" s="230"/>
      <c r="E48" s="230"/>
      <c r="F48" s="170"/>
      <c r="G48" s="245"/>
      <c r="H48" s="246"/>
      <c r="I48" s="161"/>
    </row>
    <row r="49" spans="1:9" ht="15.75">
      <c r="A49" s="181" t="s">
        <v>72</v>
      </c>
      <c r="B49" s="169">
        <f>DATE(12,7,1)</f>
        <v>4566</v>
      </c>
      <c r="C49" s="230">
        <v>209649110.59</v>
      </c>
      <c r="D49" s="230">
        <v>19825993.36</v>
      </c>
      <c r="E49" s="230">
        <v>21734367.86</v>
      </c>
      <c r="F49" s="170">
        <f aca="true" t="shared" si="9" ref="F49:F58">(+D49-E49)/E49</f>
        <v>-0.08780446306479328</v>
      </c>
      <c r="G49" s="245">
        <f aca="true" t="shared" si="10" ref="G49:G58">D49/C49</f>
        <v>0.09456750521957938</v>
      </c>
      <c r="H49" s="246">
        <f aca="true" t="shared" si="11" ref="H49:H58">1-G49</f>
        <v>0.9054324947804206</v>
      </c>
      <c r="I49" s="161"/>
    </row>
    <row r="50" spans="1:9" ht="15.75">
      <c r="A50" s="181"/>
      <c r="B50" s="169">
        <f>DATE(12,8,1)</f>
        <v>4597</v>
      </c>
      <c r="C50" s="230">
        <v>193209352.35</v>
      </c>
      <c r="D50" s="230">
        <v>17734989.21</v>
      </c>
      <c r="E50" s="230">
        <v>18639382.06</v>
      </c>
      <c r="F50" s="170">
        <f t="shared" si="9"/>
        <v>-0.04852053823934536</v>
      </c>
      <c r="G50" s="245">
        <f t="shared" si="10"/>
        <v>0.09179156699347013</v>
      </c>
      <c r="H50" s="246">
        <f t="shared" si="11"/>
        <v>0.9082084330065299</v>
      </c>
      <c r="I50" s="161"/>
    </row>
    <row r="51" spans="1:9" ht="15.75">
      <c r="A51" s="181"/>
      <c r="B51" s="169">
        <f>DATE(12,9,1)</f>
        <v>4628</v>
      </c>
      <c r="C51" s="230">
        <v>196160172.24</v>
      </c>
      <c r="D51" s="230">
        <v>17774948.38</v>
      </c>
      <c r="E51" s="230">
        <v>19343462.15</v>
      </c>
      <c r="F51" s="170">
        <f t="shared" si="9"/>
        <v>-0.08108754047423716</v>
      </c>
      <c r="G51" s="245">
        <f t="shared" si="10"/>
        <v>0.09061446152408822</v>
      </c>
      <c r="H51" s="246">
        <f t="shared" si="11"/>
        <v>0.9093855384759117</v>
      </c>
      <c r="I51" s="161"/>
    </row>
    <row r="52" spans="1:9" ht="15.75">
      <c r="A52" s="181"/>
      <c r="B52" s="169">
        <f>DATE(12,10,1)</f>
        <v>4658</v>
      </c>
      <c r="C52" s="230">
        <v>177753298.14</v>
      </c>
      <c r="D52" s="230">
        <v>16713103.25</v>
      </c>
      <c r="E52" s="230">
        <v>18742741.85</v>
      </c>
      <c r="F52" s="170">
        <f t="shared" si="9"/>
        <v>-0.1082893109366494</v>
      </c>
      <c r="G52" s="245">
        <f t="shared" si="10"/>
        <v>0.09402415271550472</v>
      </c>
      <c r="H52" s="246">
        <f t="shared" si="11"/>
        <v>0.9059758472844953</v>
      </c>
      <c r="I52" s="161"/>
    </row>
    <row r="53" spans="1:9" ht="15.75">
      <c r="A53" s="181"/>
      <c r="B53" s="169">
        <f>DATE(12,11,1)</f>
        <v>4689</v>
      </c>
      <c r="C53" s="230">
        <f>3270542.69+153206017.16</f>
        <v>156476559.85</v>
      </c>
      <c r="D53" s="230">
        <f>291842.56+14522665.12</f>
        <v>14814507.68</v>
      </c>
      <c r="E53" s="230">
        <v>17787446.38</v>
      </c>
      <c r="F53" s="170">
        <f t="shared" si="9"/>
        <v>-0.16713690298697048</v>
      </c>
      <c r="G53" s="245">
        <f t="shared" si="10"/>
        <v>0.09467557117948744</v>
      </c>
      <c r="H53" s="246">
        <f t="shared" si="11"/>
        <v>0.9053244288205126</v>
      </c>
      <c r="I53" s="161"/>
    </row>
    <row r="54" spans="1:9" ht="15.75">
      <c r="A54" s="181"/>
      <c r="B54" s="169">
        <f>DATE(12,12,1)</f>
        <v>4719</v>
      </c>
      <c r="C54" s="230">
        <v>171862061.97</v>
      </c>
      <c r="D54" s="230">
        <v>16625088.4</v>
      </c>
      <c r="E54" s="230">
        <v>19828015.42</v>
      </c>
      <c r="F54" s="170">
        <f t="shared" si="9"/>
        <v>-0.1615354311641947</v>
      </c>
      <c r="G54" s="245">
        <f t="shared" si="10"/>
        <v>0.09673506886529763</v>
      </c>
      <c r="H54" s="246">
        <f t="shared" si="11"/>
        <v>0.9032649311347024</v>
      </c>
      <c r="I54" s="161"/>
    </row>
    <row r="55" spans="1:9" ht="15.75">
      <c r="A55" s="181"/>
      <c r="B55" s="169">
        <f>DATE(13,1,1)</f>
        <v>4750</v>
      </c>
      <c r="C55" s="230">
        <v>183423527.43</v>
      </c>
      <c r="D55" s="230">
        <v>16955664.76</v>
      </c>
      <c r="E55" s="230">
        <v>18274216.58</v>
      </c>
      <c r="F55" s="170">
        <f t="shared" si="9"/>
        <v>-0.07215367149818451</v>
      </c>
      <c r="G55" s="245">
        <f t="shared" si="10"/>
        <v>0.09243996665842553</v>
      </c>
      <c r="H55" s="246">
        <f t="shared" si="11"/>
        <v>0.9075600333415744</v>
      </c>
      <c r="I55" s="161"/>
    </row>
    <row r="56" spans="1:9" ht="15.75">
      <c r="A56" s="181"/>
      <c r="B56" s="169">
        <f>DATE(13,2,1)</f>
        <v>4781</v>
      </c>
      <c r="C56" s="230">
        <v>181215299.72</v>
      </c>
      <c r="D56" s="230">
        <v>17299853.49</v>
      </c>
      <c r="E56" s="230">
        <v>19648863.39</v>
      </c>
      <c r="F56" s="170">
        <f t="shared" si="9"/>
        <v>-0.11954940361565627</v>
      </c>
      <c r="G56" s="245">
        <f t="shared" si="10"/>
        <v>0.09546574443068774</v>
      </c>
      <c r="H56" s="246">
        <f t="shared" si="11"/>
        <v>0.9045342555693122</v>
      </c>
      <c r="I56" s="161"/>
    </row>
    <row r="57" spans="1:9" ht="15.75">
      <c r="A57" s="181"/>
      <c r="B57" s="169">
        <f>DATE(13,3,1)</f>
        <v>4809</v>
      </c>
      <c r="C57" s="230">
        <v>196162761.38</v>
      </c>
      <c r="D57" s="230">
        <v>19257979.67</v>
      </c>
      <c r="E57" s="230">
        <v>21124147.81</v>
      </c>
      <c r="F57" s="170">
        <f t="shared" si="9"/>
        <v>-0.08834288401999195</v>
      </c>
      <c r="G57" s="245">
        <f t="shared" si="10"/>
        <v>0.09817347357123549</v>
      </c>
      <c r="H57" s="246">
        <f t="shared" si="11"/>
        <v>0.9018265264287645</v>
      </c>
      <c r="I57" s="161"/>
    </row>
    <row r="58" spans="1:9" ht="15.75">
      <c r="A58" s="181"/>
      <c r="B58" s="169">
        <f>DATE(13,4,1)</f>
        <v>4840</v>
      </c>
      <c r="C58" s="230">
        <v>169945435.71</v>
      </c>
      <c r="D58" s="230">
        <v>16822391.36</v>
      </c>
      <c r="E58" s="230">
        <v>19917943.16</v>
      </c>
      <c r="F58" s="170">
        <f t="shared" si="9"/>
        <v>-0.15541523415011094</v>
      </c>
      <c r="G58" s="245">
        <f t="shared" si="10"/>
        <v>0.09898701480106964</v>
      </c>
      <c r="H58" s="246">
        <f t="shared" si="11"/>
        <v>0.9010129851989304</v>
      </c>
      <c r="I58" s="161"/>
    </row>
    <row r="59" spans="1:9" ht="15.75" thickBot="1">
      <c r="A59" s="171"/>
      <c r="B59" s="172"/>
      <c r="C59" s="230"/>
      <c r="D59" s="230"/>
      <c r="E59" s="230"/>
      <c r="F59" s="170"/>
      <c r="G59" s="245"/>
      <c r="H59" s="246"/>
      <c r="I59" s="161"/>
    </row>
    <row r="60" spans="1:9" ht="17.25" thickBot="1" thickTop="1">
      <c r="A60" s="178" t="s">
        <v>14</v>
      </c>
      <c r="B60" s="182"/>
      <c r="C60" s="232">
        <f>SUM(C49:C59)</f>
        <v>1835857579.38</v>
      </c>
      <c r="D60" s="232">
        <f>SUM(D49:D59)</f>
        <v>173824519.56</v>
      </c>
      <c r="E60" s="232">
        <f>SUM(E49:E59)</f>
        <v>195040586.66</v>
      </c>
      <c r="F60" s="180">
        <f>(+D60-E60)/E60</f>
        <v>-0.10877770346837817</v>
      </c>
      <c r="G60" s="249">
        <f>D60/C60</f>
        <v>0.09468300891766532</v>
      </c>
      <c r="H60" s="250">
        <f>1-G60</f>
        <v>0.9053169910823347</v>
      </c>
      <c r="I60" s="161"/>
    </row>
    <row r="61" spans="1:9" ht="15.75" thickTop="1">
      <c r="A61" s="171"/>
      <c r="B61" s="172"/>
      <c r="C61" s="230"/>
      <c r="D61" s="230"/>
      <c r="E61" s="230"/>
      <c r="F61" s="170"/>
      <c r="G61" s="245"/>
      <c r="H61" s="246"/>
      <c r="I61" s="161"/>
    </row>
    <row r="62" spans="1:9" ht="15.75">
      <c r="A62" s="168" t="s">
        <v>16</v>
      </c>
      <c r="B62" s="169">
        <f>DATE(12,7,1)</f>
        <v>4566</v>
      </c>
      <c r="C62" s="230">
        <v>137306261.68</v>
      </c>
      <c r="D62" s="230">
        <v>12788816.14</v>
      </c>
      <c r="E62" s="230">
        <v>14708185.76</v>
      </c>
      <c r="F62" s="170">
        <f aca="true" t="shared" si="12" ref="F62:F71">(+D62-E62)/E62</f>
        <v>-0.13049669424354612</v>
      </c>
      <c r="G62" s="245">
        <f aca="true" t="shared" si="13" ref="G62:G71">D62/C62</f>
        <v>0.09314080788103501</v>
      </c>
      <c r="H62" s="246">
        <f aca="true" t="shared" si="14" ref="H62:H71">1-G62</f>
        <v>0.906859192118965</v>
      </c>
      <c r="I62" s="161"/>
    </row>
    <row r="63" spans="1:9" ht="15.75">
      <c r="A63" s="168"/>
      <c r="B63" s="169">
        <f>DATE(12,8,1)</f>
        <v>4597</v>
      </c>
      <c r="C63" s="230">
        <v>136855576.11</v>
      </c>
      <c r="D63" s="230">
        <v>13368497.03</v>
      </c>
      <c r="E63" s="230">
        <v>13588315.24</v>
      </c>
      <c r="F63" s="170">
        <f t="shared" si="12"/>
        <v>-0.01617700252882865</v>
      </c>
      <c r="G63" s="245">
        <f t="shared" si="13"/>
        <v>0.09768324689419187</v>
      </c>
      <c r="H63" s="246">
        <f t="shared" si="14"/>
        <v>0.9023167531058082</v>
      </c>
      <c r="I63" s="161"/>
    </row>
    <row r="64" spans="1:9" ht="15.75">
      <c r="A64" s="168"/>
      <c r="B64" s="169">
        <f>DATE(12,9,1)</f>
        <v>4628</v>
      </c>
      <c r="C64" s="230">
        <v>129045555.72</v>
      </c>
      <c r="D64" s="230">
        <v>12351231.96</v>
      </c>
      <c r="E64" s="230">
        <v>13756146.76</v>
      </c>
      <c r="F64" s="170">
        <f t="shared" si="12"/>
        <v>-0.10212996593531537</v>
      </c>
      <c r="G64" s="245">
        <f t="shared" si="13"/>
        <v>0.09571218389573534</v>
      </c>
      <c r="H64" s="246">
        <f t="shared" si="14"/>
        <v>0.9042878161042647</v>
      </c>
      <c r="I64" s="161"/>
    </row>
    <row r="65" spans="1:9" ht="15.75">
      <c r="A65" s="168"/>
      <c r="B65" s="169">
        <f>DATE(12,10,1)</f>
        <v>4658</v>
      </c>
      <c r="C65" s="230">
        <v>131134034.26</v>
      </c>
      <c r="D65" s="230">
        <v>12098364.86</v>
      </c>
      <c r="E65" s="230">
        <v>13420012.56</v>
      </c>
      <c r="F65" s="170">
        <f t="shared" si="12"/>
        <v>-0.0984833429991962</v>
      </c>
      <c r="G65" s="245">
        <f t="shared" si="13"/>
        <v>0.09225953375317135</v>
      </c>
      <c r="H65" s="246">
        <f t="shared" si="14"/>
        <v>0.9077404662468287</v>
      </c>
      <c r="I65" s="161"/>
    </row>
    <row r="66" spans="1:9" ht="15.75">
      <c r="A66" s="168"/>
      <c r="B66" s="169">
        <f>DATE(12,11,1)</f>
        <v>4689</v>
      </c>
      <c r="C66" s="230">
        <v>134296832.05</v>
      </c>
      <c r="D66" s="230">
        <v>12984807.27</v>
      </c>
      <c r="E66" s="230">
        <v>12983597.86</v>
      </c>
      <c r="F66" s="170">
        <f t="shared" si="12"/>
        <v>9.314906492337626E-05</v>
      </c>
      <c r="G66" s="245">
        <f t="shared" si="13"/>
        <v>0.09668736836000442</v>
      </c>
      <c r="H66" s="246">
        <f t="shared" si="14"/>
        <v>0.9033126316399955</v>
      </c>
      <c r="I66" s="161"/>
    </row>
    <row r="67" spans="1:9" ht="15.75">
      <c r="A67" s="168"/>
      <c r="B67" s="169">
        <f>DATE(12,12,1)</f>
        <v>4719</v>
      </c>
      <c r="C67" s="230">
        <v>138926893.82</v>
      </c>
      <c r="D67" s="230">
        <v>12786088.16</v>
      </c>
      <c r="E67" s="230">
        <v>14316395.61</v>
      </c>
      <c r="F67" s="170">
        <f t="shared" si="12"/>
        <v>-0.10689195043835474</v>
      </c>
      <c r="G67" s="245">
        <f t="shared" si="13"/>
        <v>0.09203465080394181</v>
      </c>
      <c r="H67" s="246">
        <f t="shared" si="14"/>
        <v>0.9079653491960582</v>
      </c>
      <c r="I67" s="161"/>
    </row>
    <row r="68" spans="1:9" ht="15.75">
      <c r="A68" s="168"/>
      <c r="B68" s="169">
        <f>DATE(13,1,1)</f>
        <v>4750</v>
      </c>
      <c r="C68" s="230">
        <v>118342356.3</v>
      </c>
      <c r="D68" s="230">
        <v>10919724.23</v>
      </c>
      <c r="E68" s="230">
        <v>11966126.31</v>
      </c>
      <c r="F68" s="170">
        <f t="shared" si="12"/>
        <v>-0.08744701943564893</v>
      </c>
      <c r="G68" s="245">
        <f t="shared" si="13"/>
        <v>0.0922723238864562</v>
      </c>
      <c r="H68" s="246">
        <f t="shared" si="14"/>
        <v>0.9077276761135438</v>
      </c>
      <c r="I68" s="161"/>
    </row>
    <row r="69" spans="1:9" ht="15.75">
      <c r="A69" s="168"/>
      <c r="B69" s="169">
        <f>DATE(13,2,1)</f>
        <v>4781</v>
      </c>
      <c r="C69" s="230">
        <v>119681662.68</v>
      </c>
      <c r="D69" s="230">
        <v>11472468.18</v>
      </c>
      <c r="E69" s="230">
        <v>12925328.75</v>
      </c>
      <c r="F69" s="170">
        <f t="shared" si="12"/>
        <v>-0.11240414832775532</v>
      </c>
      <c r="G69" s="245">
        <f t="shared" si="13"/>
        <v>0.09585819517459931</v>
      </c>
      <c r="H69" s="246">
        <f t="shared" si="14"/>
        <v>0.9041418048254006</v>
      </c>
      <c r="I69" s="161"/>
    </row>
    <row r="70" spans="1:9" ht="15.75">
      <c r="A70" s="168"/>
      <c r="B70" s="169">
        <f>DATE(13,3,1)</f>
        <v>4809</v>
      </c>
      <c r="C70" s="230">
        <v>145168172.49</v>
      </c>
      <c r="D70" s="230">
        <v>13725464.82</v>
      </c>
      <c r="E70" s="230">
        <v>14791125.74</v>
      </c>
      <c r="F70" s="170">
        <f t="shared" si="12"/>
        <v>-0.07204731666353882</v>
      </c>
      <c r="G70" s="245">
        <f t="shared" si="13"/>
        <v>0.09454871949252848</v>
      </c>
      <c r="H70" s="246">
        <f t="shared" si="14"/>
        <v>0.9054512805074715</v>
      </c>
      <c r="I70" s="161"/>
    </row>
    <row r="71" spans="1:9" ht="15.75">
      <c r="A71" s="168"/>
      <c r="B71" s="169">
        <f>DATE(13,4,1)</f>
        <v>4840</v>
      </c>
      <c r="C71" s="230">
        <v>134104740.9</v>
      </c>
      <c r="D71" s="230">
        <v>12601938.8</v>
      </c>
      <c r="E71" s="230">
        <v>13552273.92</v>
      </c>
      <c r="F71" s="170">
        <f t="shared" si="12"/>
        <v>-0.0701236652690089</v>
      </c>
      <c r="G71" s="245">
        <f t="shared" si="13"/>
        <v>0.09397086721488158</v>
      </c>
      <c r="H71" s="246">
        <f t="shared" si="14"/>
        <v>0.9060291327851184</v>
      </c>
      <c r="I71" s="161"/>
    </row>
    <row r="72" spans="1:9" ht="15.75" thickBot="1">
      <c r="A72" s="171"/>
      <c r="B72" s="169"/>
      <c r="C72" s="230"/>
      <c r="D72" s="230"/>
      <c r="E72" s="230"/>
      <c r="F72" s="170"/>
      <c r="G72" s="245"/>
      <c r="H72" s="246"/>
      <c r="I72" s="161"/>
    </row>
    <row r="73" spans="1:9" ht="17.25" thickBot="1" thickTop="1">
      <c r="A73" s="178" t="s">
        <v>14</v>
      </c>
      <c r="B73" s="179"/>
      <c r="C73" s="232">
        <f>SUM(C62:C72)</f>
        <v>1324862086.01</v>
      </c>
      <c r="D73" s="234">
        <f>SUM(D62:D72)</f>
        <v>125097401.45</v>
      </c>
      <c r="E73" s="277">
        <f>SUM(E62:E72)</f>
        <v>136007508.51</v>
      </c>
      <c r="F73" s="278">
        <f>(+D73-E73)/E73</f>
        <v>-0.08021694669304098</v>
      </c>
      <c r="G73" s="253">
        <f>D73/C73</f>
        <v>0.09442296128100973</v>
      </c>
      <c r="H73" s="276">
        <f>1-G73</f>
        <v>0.9055770387189903</v>
      </c>
      <c r="I73" s="161"/>
    </row>
    <row r="74" spans="1:9" ht="15.75" thickTop="1">
      <c r="A74" s="171"/>
      <c r="B74" s="172"/>
      <c r="C74" s="230"/>
      <c r="D74" s="230"/>
      <c r="E74" s="230"/>
      <c r="F74" s="170"/>
      <c r="G74" s="245"/>
      <c r="H74" s="246"/>
      <c r="I74" s="161"/>
    </row>
    <row r="75" spans="1:9" ht="15.75">
      <c r="A75" s="168" t="s">
        <v>67</v>
      </c>
      <c r="B75" s="169">
        <f>DATE(12,10,1)</f>
        <v>4658</v>
      </c>
      <c r="C75" s="230">
        <v>5149174.46</v>
      </c>
      <c r="D75" s="230">
        <v>537096.36</v>
      </c>
      <c r="E75" s="230">
        <v>0</v>
      </c>
      <c r="F75" s="170">
        <v>1</v>
      </c>
      <c r="G75" s="245">
        <f aca="true" t="shared" si="15" ref="G75:G81">D75/C75</f>
        <v>0.1043072756948305</v>
      </c>
      <c r="H75" s="246">
        <f aca="true" t="shared" si="16" ref="H75:H81">1-G75</f>
        <v>0.8956927243051696</v>
      </c>
      <c r="I75" s="161"/>
    </row>
    <row r="76" spans="1:9" ht="15.75">
      <c r="A76" s="168"/>
      <c r="B76" s="169">
        <f>DATE(12,11,1)</f>
        <v>4689</v>
      </c>
      <c r="C76" s="230">
        <v>49743660.05</v>
      </c>
      <c r="D76" s="230">
        <v>4625917.73</v>
      </c>
      <c r="E76" s="230">
        <v>0</v>
      </c>
      <c r="F76" s="170">
        <v>1</v>
      </c>
      <c r="G76" s="245">
        <f t="shared" si="15"/>
        <v>0.09299512189795131</v>
      </c>
      <c r="H76" s="246">
        <f t="shared" si="16"/>
        <v>0.9070048781020487</v>
      </c>
      <c r="I76" s="161"/>
    </row>
    <row r="77" spans="1:9" ht="15.75">
      <c r="A77" s="168"/>
      <c r="B77" s="169">
        <f>DATE(12,12,1)</f>
        <v>4719</v>
      </c>
      <c r="C77" s="230">
        <v>45844656.02</v>
      </c>
      <c r="D77" s="230">
        <v>4704631.35</v>
      </c>
      <c r="E77" s="230">
        <v>0</v>
      </c>
      <c r="F77" s="170">
        <v>1</v>
      </c>
      <c r="G77" s="245">
        <f t="shared" si="15"/>
        <v>0.10262115060799183</v>
      </c>
      <c r="H77" s="246">
        <f t="shared" si="16"/>
        <v>0.8973788493920082</v>
      </c>
      <c r="I77" s="161"/>
    </row>
    <row r="78" spans="1:9" ht="15.75">
      <c r="A78" s="168"/>
      <c r="B78" s="169">
        <f>DATE(13,1,1)</f>
        <v>4750</v>
      </c>
      <c r="C78" s="230">
        <v>44553013.81</v>
      </c>
      <c r="D78" s="230">
        <v>4097160.47</v>
      </c>
      <c r="E78" s="230">
        <v>0</v>
      </c>
      <c r="F78" s="170">
        <v>1</v>
      </c>
      <c r="G78" s="245">
        <f t="shared" si="15"/>
        <v>0.09196146611927711</v>
      </c>
      <c r="H78" s="246">
        <f t="shared" si="16"/>
        <v>0.9080385338807229</v>
      </c>
      <c r="I78" s="161"/>
    </row>
    <row r="79" spans="1:9" ht="15.75">
      <c r="A79" s="168"/>
      <c r="B79" s="169">
        <f>DATE(13,2,1)</f>
        <v>4781</v>
      </c>
      <c r="C79" s="230">
        <v>59599850.9</v>
      </c>
      <c r="D79" s="230">
        <v>5751339.3</v>
      </c>
      <c r="E79" s="230">
        <v>0</v>
      </c>
      <c r="F79" s="170">
        <v>1</v>
      </c>
      <c r="G79" s="245">
        <f t="shared" si="15"/>
        <v>0.09649922295359299</v>
      </c>
      <c r="H79" s="246">
        <f t="shared" si="16"/>
        <v>0.903500777046407</v>
      </c>
      <c r="I79" s="161"/>
    </row>
    <row r="80" spans="1:9" ht="15.75">
      <c r="A80" s="168"/>
      <c r="B80" s="169">
        <f>DATE(13,3,1)</f>
        <v>4809</v>
      </c>
      <c r="C80" s="230">
        <v>71687912.75</v>
      </c>
      <c r="D80" s="230">
        <v>6712977.53</v>
      </c>
      <c r="E80" s="230">
        <v>0</v>
      </c>
      <c r="F80" s="170">
        <v>1</v>
      </c>
      <c r="G80" s="245">
        <f t="shared" si="15"/>
        <v>0.09364169317372126</v>
      </c>
      <c r="H80" s="246">
        <f t="shared" si="16"/>
        <v>0.9063583068262787</v>
      </c>
      <c r="I80" s="161"/>
    </row>
    <row r="81" spans="1:9" ht="15.75">
      <c r="A81" s="168"/>
      <c r="B81" s="169">
        <f>DATE(13,4,1)</f>
        <v>4840</v>
      </c>
      <c r="C81" s="230">
        <v>52928936.83</v>
      </c>
      <c r="D81" s="230">
        <v>4953934.75</v>
      </c>
      <c r="E81" s="230">
        <v>0</v>
      </c>
      <c r="F81" s="170">
        <v>1</v>
      </c>
      <c r="G81" s="245">
        <f t="shared" si="15"/>
        <v>0.09359596180651264</v>
      </c>
      <c r="H81" s="246">
        <f t="shared" si="16"/>
        <v>0.9064040381934874</v>
      </c>
      <c r="I81" s="161"/>
    </row>
    <row r="82" spans="1:9" ht="15.75" thickBot="1">
      <c r="A82" s="171"/>
      <c r="B82" s="169"/>
      <c r="C82" s="230"/>
      <c r="D82" s="230"/>
      <c r="E82" s="230"/>
      <c r="F82" s="170"/>
      <c r="G82" s="245"/>
      <c r="H82" s="246"/>
      <c r="I82" s="161"/>
    </row>
    <row r="83" spans="1:9" ht="17.25" thickBot="1" thickTop="1">
      <c r="A83" s="178" t="s">
        <v>14</v>
      </c>
      <c r="B83" s="179"/>
      <c r="C83" s="232">
        <f>SUM(C75:C82)</f>
        <v>329507204.82</v>
      </c>
      <c r="D83" s="234">
        <f>SUM(D75:D82)</f>
        <v>31383057.490000002</v>
      </c>
      <c r="E83" s="277">
        <f>SUM(E75:E82)</f>
        <v>0</v>
      </c>
      <c r="F83" s="278">
        <v>1</v>
      </c>
      <c r="G83" s="253">
        <f>D83/C83</f>
        <v>0.09524240147387258</v>
      </c>
      <c r="H83" s="276">
        <f>1-G83</f>
        <v>0.9047575985261274</v>
      </c>
      <c r="I83" s="161"/>
    </row>
    <row r="84" spans="1:9" ht="15.75" thickTop="1">
      <c r="A84" s="171"/>
      <c r="B84" s="172"/>
      <c r="C84" s="230"/>
      <c r="D84" s="230"/>
      <c r="E84" s="230"/>
      <c r="F84" s="170"/>
      <c r="G84" s="245"/>
      <c r="H84" s="246"/>
      <c r="I84" s="161"/>
    </row>
    <row r="85" spans="1:9" ht="15.75">
      <c r="A85" s="168" t="s">
        <v>17</v>
      </c>
      <c r="B85" s="169">
        <f>DATE(12,7,1)</f>
        <v>4566</v>
      </c>
      <c r="C85" s="230">
        <v>64862686.07</v>
      </c>
      <c r="D85" s="230">
        <v>6324180.84</v>
      </c>
      <c r="E85" s="230">
        <v>6935260.95</v>
      </c>
      <c r="F85" s="170">
        <f aca="true" t="shared" si="17" ref="F85:F94">(+D85-E85)/E85</f>
        <v>-0.08811205726873195</v>
      </c>
      <c r="G85" s="245">
        <f aca="true" t="shared" si="18" ref="G85:G94">D85/C85</f>
        <v>0.0975010629867367</v>
      </c>
      <c r="H85" s="246">
        <f aca="true" t="shared" si="19" ref="H85:H94">1-G85</f>
        <v>0.9024989370132633</v>
      </c>
      <c r="I85" s="161"/>
    </row>
    <row r="86" spans="1:9" ht="15.75">
      <c r="A86" s="168"/>
      <c r="B86" s="169">
        <f>DATE(12,8,1)</f>
        <v>4597</v>
      </c>
      <c r="C86" s="230">
        <v>66356912.5</v>
      </c>
      <c r="D86" s="230">
        <v>6447033.37</v>
      </c>
      <c r="E86" s="230">
        <v>6599014.12</v>
      </c>
      <c r="F86" s="170">
        <f t="shared" si="17"/>
        <v>-0.02303082661080895</v>
      </c>
      <c r="G86" s="245">
        <f t="shared" si="18"/>
        <v>0.09715692197101546</v>
      </c>
      <c r="H86" s="246">
        <f t="shared" si="19"/>
        <v>0.9028430780289846</v>
      </c>
      <c r="I86" s="161"/>
    </row>
    <row r="87" spans="1:9" ht="15.75">
      <c r="A87" s="168"/>
      <c r="B87" s="169">
        <f>DATE(12,9,1)</f>
        <v>4628</v>
      </c>
      <c r="C87" s="230">
        <v>60704427.06</v>
      </c>
      <c r="D87" s="230">
        <v>6027376.39</v>
      </c>
      <c r="E87" s="230">
        <v>6575172</v>
      </c>
      <c r="F87" s="170">
        <f t="shared" si="17"/>
        <v>-0.08331274223700921</v>
      </c>
      <c r="G87" s="245">
        <f t="shared" si="18"/>
        <v>0.09929055724457404</v>
      </c>
      <c r="H87" s="246">
        <f t="shared" si="19"/>
        <v>0.900709442755426</v>
      </c>
      <c r="I87" s="161"/>
    </row>
    <row r="88" spans="1:9" ht="15.75">
      <c r="A88" s="168"/>
      <c r="B88" s="169">
        <f>DATE(12,10,1)</f>
        <v>4658</v>
      </c>
      <c r="C88" s="230">
        <v>61611273.62</v>
      </c>
      <c r="D88" s="230">
        <v>6038548.87</v>
      </c>
      <c r="E88" s="230">
        <v>6472614.91</v>
      </c>
      <c r="F88" s="170">
        <f t="shared" si="17"/>
        <v>-0.06706192876226588</v>
      </c>
      <c r="G88" s="245">
        <f t="shared" si="18"/>
        <v>0.09801045352907282</v>
      </c>
      <c r="H88" s="246">
        <f t="shared" si="19"/>
        <v>0.9019895464709272</v>
      </c>
      <c r="I88" s="161"/>
    </row>
    <row r="89" spans="1:9" ht="15.75">
      <c r="A89" s="168"/>
      <c r="B89" s="169">
        <f>DATE(12,11,1)</f>
        <v>4689</v>
      </c>
      <c r="C89" s="230">
        <v>61811329.36</v>
      </c>
      <c r="D89" s="230">
        <v>5972750.94</v>
      </c>
      <c r="E89" s="230">
        <v>6255032.35</v>
      </c>
      <c r="F89" s="170">
        <f t="shared" si="17"/>
        <v>-0.045128689062655165</v>
      </c>
      <c r="G89" s="245">
        <f t="shared" si="18"/>
        <v>0.09662874107129542</v>
      </c>
      <c r="H89" s="246">
        <f t="shared" si="19"/>
        <v>0.9033712589287046</v>
      </c>
      <c r="I89" s="161"/>
    </row>
    <row r="90" spans="1:9" ht="15.75">
      <c r="A90" s="168"/>
      <c r="B90" s="169">
        <f>DATE(12,12,1)</f>
        <v>4719</v>
      </c>
      <c r="C90" s="230">
        <v>63819632.13</v>
      </c>
      <c r="D90" s="230">
        <v>6015768.75</v>
      </c>
      <c r="E90" s="230">
        <v>6541825.41</v>
      </c>
      <c r="F90" s="170">
        <f t="shared" si="17"/>
        <v>-0.08041435333872662</v>
      </c>
      <c r="G90" s="245">
        <f t="shared" si="18"/>
        <v>0.09426204052298412</v>
      </c>
      <c r="H90" s="246">
        <f t="shared" si="19"/>
        <v>0.9057379594770159</v>
      </c>
      <c r="I90" s="161"/>
    </row>
    <row r="91" spans="1:9" ht="15.75">
      <c r="A91" s="168"/>
      <c r="B91" s="169">
        <f>DATE(13,1,1)</f>
        <v>4750</v>
      </c>
      <c r="C91" s="230">
        <v>58007872.94</v>
      </c>
      <c r="D91" s="230">
        <v>5707676.34</v>
      </c>
      <c r="E91" s="230">
        <v>6650242.6</v>
      </c>
      <c r="F91" s="170">
        <f t="shared" si="17"/>
        <v>-0.14173411658696478</v>
      </c>
      <c r="G91" s="245">
        <f t="shared" si="18"/>
        <v>0.09839485660685561</v>
      </c>
      <c r="H91" s="246">
        <f t="shared" si="19"/>
        <v>0.9016051433931443</v>
      </c>
      <c r="I91" s="161"/>
    </row>
    <row r="92" spans="1:9" ht="15.75">
      <c r="A92" s="168"/>
      <c r="B92" s="169">
        <f>DATE(13,2,1)</f>
        <v>4781</v>
      </c>
      <c r="C92" s="230">
        <v>62198227.61</v>
      </c>
      <c r="D92" s="230">
        <v>6154938.17</v>
      </c>
      <c r="E92" s="230">
        <v>7432101.52</v>
      </c>
      <c r="F92" s="170">
        <f t="shared" si="17"/>
        <v>-0.17184417443210595</v>
      </c>
      <c r="G92" s="245">
        <f t="shared" si="18"/>
        <v>0.09895680964726448</v>
      </c>
      <c r="H92" s="246">
        <f t="shared" si="19"/>
        <v>0.9010431903527355</v>
      </c>
      <c r="I92" s="161"/>
    </row>
    <row r="93" spans="1:9" ht="15.75">
      <c r="A93" s="168"/>
      <c r="B93" s="169">
        <f>DATE(13,3,1)</f>
        <v>4809</v>
      </c>
      <c r="C93" s="230">
        <v>70612214.37</v>
      </c>
      <c r="D93" s="230">
        <v>6998073.56</v>
      </c>
      <c r="E93" s="230">
        <v>7419810.13</v>
      </c>
      <c r="F93" s="170">
        <f t="shared" si="17"/>
        <v>-0.05683926712555922</v>
      </c>
      <c r="G93" s="245">
        <f t="shared" si="18"/>
        <v>0.09910570886972736</v>
      </c>
      <c r="H93" s="246">
        <f t="shared" si="19"/>
        <v>0.9008942911302726</v>
      </c>
      <c r="I93" s="161"/>
    </row>
    <row r="94" spans="1:9" ht="15.75">
      <c r="A94" s="168"/>
      <c r="B94" s="169">
        <f>DATE(13,4,1)</f>
        <v>4840</v>
      </c>
      <c r="C94" s="230">
        <v>64183979.46</v>
      </c>
      <c r="D94" s="230">
        <v>6405347.58</v>
      </c>
      <c r="E94" s="230">
        <v>6607935.92</v>
      </c>
      <c r="F94" s="170">
        <f t="shared" si="17"/>
        <v>-0.03065833907178686</v>
      </c>
      <c r="G94" s="245">
        <f t="shared" si="18"/>
        <v>0.09979667253246376</v>
      </c>
      <c r="H94" s="246">
        <f t="shared" si="19"/>
        <v>0.9002033274675363</v>
      </c>
      <c r="I94" s="161"/>
    </row>
    <row r="95" spans="1:9" ht="15.75" thickBot="1">
      <c r="A95" s="171"/>
      <c r="B95" s="169"/>
      <c r="C95" s="230"/>
      <c r="D95" s="230"/>
      <c r="E95" s="230"/>
      <c r="F95" s="170"/>
      <c r="G95" s="245"/>
      <c r="H95" s="246"/>
      <c r="I95" s="161"/>
    </row>
    <row r="96" spans="1:9" ht="17.25" thickBot="1" thickTop="1">
      <c r="A96" s="178" t="s">
        <v>14</v>
      </c>
      <c r="B96" s="179"/>
      <c r="C96" s="232">
        <f>SUM(C85:C95)</f>
        <v>634168555.1200001</v>
      </c>
      <c r="D96" s="234">
        <f>SUM(D85:D95)</f>
        <v>62091694.81</v>
      </c>
      <c r="E96" s="277">
        <f>SUM(E85:E95)</f>
        <v>67489009.91</v>
      </c>
      <c r="F96" s="278">
        <f>(+D96-E96)/E96</f>
        <v>-0.07997324463935071</v>
      </c>
      <c r="G96" s="253">
        <f>D96/C96</f>
        <v>0.09791039670557419</v>
      </c>
      <c r="H96" s="276">
        <f>1-G96</f>
        <v>0.9020896032944258</v>
      </c>
      <c r="I96" s="161"/>
    </row>
    <row r="97" spans="1:9" ht="15.75" thickTop="1">
      <c r="A97" s="171"/>
      <c r="B97" s="172"/>
      <c r="C97" s="230"/>
      <c r="D97" s="230"/>
      <c r="E97" s="230"/>
      <c r="F97" s="170"/>
      <c r="G97" s="245"/>
      <c r="H97" s="246"/>
      <c r="I97" s="161"/>
    </row>
    <row r="98" spans="1:9" ht="15.75">
      <c r="A98" s="168" t="s">
        <v>57</v>
      </c>
      <c r="B98" s="169">
        <f>DATE(12,7,1)</f>
        <v>4566</v>
      </c>
      <c r="C98" s="230">
        <v>121851650.48</v>
      </c>
      <c r="D98" s="230">
        <v>11491646.66</v>
      </c>
      <c r="E98" s="230">
        <v>12286825.82</v>
      </c>
      <c r="F98" s="170">
        <f aca="true" t="shared" si="20" ref="F98:F107">(+D98-E98)/E98</f>
        <v>-0.06471802983530861</v>
      </c>
      <c r="G98" s="245">
        <f aca="true" t="shared" si="21" ref="G98:G107">D98/C98</f>
        <v>0.09430850230367761</v>
      </c>
      <c r="H98" s="246">
        <f aca="true" t="shared" si="22" ref="H98:H107">1-G98</f>
        <v>0.9056914976963224</v>
      </c>
      <c r="I98" s="161"/>
    </row>
    <row r="99" spans="1:9" ht="15.75">
      <c r="A99" s="168"/>
      <c r="B99" s="169">
        <f>DATE(12,8,1)</f>
        <v>4597</v>
      </c>
      <c r="C99" s="230">
        <v>122115161.85</v>
      </c>
      <c r="D99" s="230">
        <v>11183918.93</v>
      </c>
      <c r="E99" s="230">
        <v>11548317.57</v>
      </c>
      <c r="F99" s="170">
        <f t="shared" si="20"/>
        <v>-0.031554262150413015</v>
      </c>
      <c r="G99" s="245">
        <f t="shared" si="21"/>
        <v>0.091585015001968</v>
      </c>
      <c r="H99" s="246">
        <f t="shared" si="22"/>
        <v>0.908414984998032</v>
      </c>
      <c r="I99" s="161"/>
    </row>
    <row r="100" spans="1:9" ht="15.75">
      <c r="A100" s="168"/>
      <c r="B100" s="169">
        <f>DATE(12,9,1)</f>
        <v>4628</v>
      </c>
      <c r="C100" s="230">
        <v>115677871.24</v>
      </c>
      <c r="D100" s="230">
        <v>10946827.14</v>
      </c>
      <c r="E100" s="230">
        <v>11701086.4</v>
      </c>
      <c r="F100" s="170">
        <f t="shared" si="20"/>
        <v>-0.06446061794740698</v>
      </c>
      <c r="G100" s="245">
        <f t="shared" si="21"/>
        <v>0.09463198987547344</v>
      </c>
      <c r="H100" s="246">
        <f t="shared" si="22"/>
        <v>0.9053680101245265</v>
      </c>
      <c r="I100" s="161"/>
    </row>
    <row r="101" spans="1:9" ht="15.75">
      <c r="A101" s="168"/>
      <c r="B101" s="169">
        <f>DATE(12,10,1)</f>
        <v>4658</v>
      </c>
      <c r="C101" s="230">
        <v>108588242.69</v>
      </c>
      <c r="D101" s="230">
        <v>10198754.72</v>
      </c>
      <c r="E101" s="230">
        <v>10984198.76</v>
      </c>
      <c r="F101" s="170">
        <f t="shared" si="20"/>
        <v>-0.07150672135142601</v>
      </c>
      <c r="G101" s="245">
        <f t="shared" si="21"/>
        <v>0.09392135342972278</v>
      </c>
      <c r="H101" s="246">
        <f t="shared" si="22"/>
        <v>0.9060786465702773</v>
      </c>
      <c r="I101" s="161"/>
    </row>
    <row r="102" spans="1:9" ht="15.75">
      <c r="A102" s="168"/>
      <c r="B102" s="169">
        <f>DATE(12,11,1)</f>
        <v>4689</v>
      </c>
      <c r="C102" s="230">
        <v>106987789.68</v>
      </c>
      <c r="D102" s="230">
        <v>10388200.58</v>
      </c>
      <c r="E102" s="230">
        <v>10443074.18</v>
      </c>
      <c r="F102" s="170">
        <f t="shared" si="20"/>
        <v>-0.00525454469193473</v>
      </c>
      <c r="G102" s="245">
        <f t="shared" si="21"/>
        <v>0.09709706697438147</v>
      </c>
      <c r="H102" s="246">
        <f t="shared" si="22"/>
        <v>0.9029029330256185</v>
      </c>
      <c r="I102" s="161"/>
    </row>
    <row r="103" spans="1:9" ht="15.75">
      <c r="A103" s="168"/>
      <c r="B103" s="169">
        <f>DATE(12,12,1)</f>
        <v>4719</v>
      </c>
      <c r="C103" s="230">
        <v>109443888.63</v>
      </c>
      <c r="D103" s="230">
        <v>10621457.65</v>
      </c>
      <c r="E103" s="230">
        <v>10783922.21</v>
      </c>
      <c r="F103" s="170">
        <f t="shared" si="20"/>
        <v>-0.015065442501926254</v>
      </c>
      <c r="G103" s="245">
        <f t="shared" si="21"/>
        <v>0.09704934449020043</v>
      </c>
      <c r="H103" s="246">
        <f t="shared" si="22"/>
        <v>0.9029506555097996</v>
      </c>
      <c r="I103" s="161"/>
    </row>
    <row r="104" spans="1:9" ht="15.75">
      <c r="A104" s="168"/>
      <c r="B104" s="169">
        <f>DATE(13,1,1)</f>
        <v>4750</v>
      </c>
      <c r="C104" s="230">
        <v>96766769.95</v>
      </c>
      <c r="D104" s="230">
        <v>9605574.58</v>
      </c>
      <c r="E104" s="230">
        <v>10325141.75</v>
      </c>
      <c r="F104" s="170">
        <f t="shared" si="20"/>
        <v>-0.06969077882151109</v>
      </c>
      <c r="G104" s="245">
        <f t="shared" si="21"/>
        <v>0.09926521867954527</v>
      </c>
      <c r="H104" s="246">
        <f t="shared" si="22"/>
        <v>0.9007347813204547</v>
      </c>
      <c r="I104" s="161"/>
    </row>
    <row r="105" spans="1:9" ht="15.75">
      <c r="A105" s="168"/>
      <c r="B105" s="169">
        <f>DATE(13,2,1)</f>
        <v>4781</v>
      </c>
      <c r="C105" s="230">
        <v>113183802.2</v>
      </c>
      <c r="D105" s="230">
        <v>11367793.74</v>
      </c>
      <c r="E105" s="230">
        <v>12898255.18</v>
      </c>
      <c r="F105" s="170">
        <f t="shared" si="20"/>
        <v>-0.1186564708669378</v>
      </c>
      <c r="G105" s="245">
        <f t="shared" si="21"/>
        <v>0.10043657766429055</v>
      </c>
      <c r="H105" s="246">
        <f t="shared" si="22"/>
        <v>0.8995634223357094</v>
      </c>
      <c r="I105" s="161"/>
    </row>
    <row r="106" spans="1:9" ht="15.75">
      <c r="A106" s="168"/>
      <c r="B106" s="169">
        <f>DATE(13,3,1)</f>
        <v>4809</v>
      </c>
      <c r="C106" s="230">
        <v>120406056.91</v>
      </c>
      <c r="D106" s="230">
        <v>12151941.26</v>
      </c>
      <c r="E106" s="230">
        <v>12527810.01</v>
      </c>
      <c r="F106" s="170">
        <f t="shared" si="20"/>
        <v>-0.03000274985811347</v>
      </c>
      <c r="G106" s="245">
        <f t="shared" si="21"/>
        <v>0.10092466751139621</v>
      </c>
      <c r="H106" s="246">
        <f t="shared" si="22"/>
        <v>0.8990753324886038</v>
      </c>
      <c r="I106" s="161"/>
    </row>
    <row r="107" spans="1:9" ht="15.75">
      <c r="A107" s="168"/>
      <c r="B107" s="169">
        <f>DATE(13,4,1)</f>
        <v>4840</v>
      </c>
      <c r="C107" s="230">
        <v>107781854.56</v>
      </c>
      <c r="D107" s="230">
        <v>10142254.6</v>
      </c>
      <c r="E107" s="230">
        <v>10770962.21</v>
      </c>
      <c r="F107" s="170">
        <f t="shared" si="20"/>
        <v>-0.058370607726791125</v>
      </c>
      <c r="G107" s="245">
        <f t="shared" si="21"/>
        <v>0.09409983379302506</v>
      </c>
      <c r="H107" s="246">
        <f t="shared" si="22"/>
        <v>0.905900166206975</v>
      </c>
      <c r="I107" s="161"/>
    </row>
    <row r="108" spans="1:9" ht="15.75" thickBot="1">
      <c r="A108" s="171"/>
      <c r="B108" s="169"/>
      <c r="C108" s="230"/>
      <c r="D108" s="230"/>
      <c r="E108" s="230"/>
      <c r="F108" s="170"/>
      <c r="G108" s="245"/>
      <c r="H108" s="246"/>
      <c r="I108" s="161"/>
    </row>
    <row r="109" spans="1:9" ht="17.25" thickBot="1" thickTop="1">
      <c r="A109" s="178" t="s">
        <v>14</v>
      </c>
      <c r="B109" s="179"/>
      <c r="C109" s="232">
        <f>SUM(C98:C108)</f>
        <v>1122803088.19</v>
      </c>
      <c r="D109" s="234">
        <f>SUM(D98:D108)</f>
        <v>108098369.86</v>
      </c>
      <c r="E109" s="277">
        <f>SUM(E98:E108)</f>
        <v>114269594.09</v>
      </c>
      <c r="F109" s="180">
        <f>(+D109-E109)/E109</f>
        <v>-0.05400582962725394</v>
      </c>
      <c r="G109" s="253">
        <f>D109/C109</f>
        <v>0.09627544758026856</v>
      </c>
      <c r="H109" s="276">
        <f>1-G109</f>
        <v>0.9037245524197315</v>
      </c>
      <c r="I109" s="161"/>
    </row>
    <row r="110" spans="1:9" ht="15.75" thickTop="1">
      <c r="A110" s="171"/>
      <c r="B110" s="183"/>
      <c r="C110" s="233"/>
      <c r="D110" s="233"/>
      <c r="E110" s="233"/>
      <c r="F110" s="184"/>
      <c r="G110" s="251"/>
      <c r="H110" s="252"/>
      <c r="I110" s="161"/>
    </row>
    <row r="111" spans="1:9" ht="15.75">
      <c r="A111" s="168" t="s">
        <v>18</v>
      </c>
      <c r="B111" s="169">
        <f>DATE(12,7,1)</f>
        <v>4566</v>
      </c>
      <c r="C111" s="230">
        <v>185788801.96</v>
      </c>
      <c r="D111" s="230">
        <v>16723208.79</v>
      </c>
      <c r="E111" s="230">
        <v>18805509.39</v>
      </c>
      <c r="F111" s="170">
        <f aca="true" t="shared" si="23" ref="F111:F120">(+D111-E111)/E111</f>
        <v>-0.1107282210131082</v>
      </c>
      <c r="G111" s="245">
        <f aca="true" t="shared" si="24" ref="G111:G120">D111/C111</f>
        <v>0.09001193082455247</v>
      </c>
      <c r="H111" s="246">
        <f aca="true" t="shared" si="25" ref="H111:H120">1-G111</f>
        <v>0.9099880691754475</v>
      </c>
      <c r="I111" s="161"/>
    </row>
    <row r="112" spans="1:9" ht="15.75">
      <c r="A112" s="168"/>
      <c r="B112" s="169">
        <f>DATE(12,8,1)</f>
        <v>4597</v>
      </c>
      <c r="C112" s="230">
        <v>178101936.68</v>
      </c>
      <c r="D112" s="230">
        <v>16065508.68</v>
      </c>
      <c r="E112" s="230">
        <v>16964842.74</v>
      </c>
      <c r="F112" s="170">
        <f t="shared" si="23"/>
        <v>-0.05301163552076633</v>
      </c>
      <c r="G112" s="245">
        <f t="shared" si="24"/>
        <v>0.09020400889219572</v>
      </c>
      <c r="H112" s="246">
        <f t="shared" si="25"/>
        <v>0.9097959911078043</v>
      </c>
      <c r="I112" s="161"/>
    </row>
    <row r="113" spans="1:9" ht="15.75">
      <c r="A113" s="168"/>
      <c r="B113" s="169">
        <f>DATE(12,9,1)</f>
        <v>4628</v>
      </c>
      <c r="C113" s="230">
        <v>166603240.39</v>
      </c>
      <c r="D113" s="230">
        <v>15233709.1</v>
      </c>
      <c r="E113" s="230">
        <v>17143789.59</v>
      </c>
      <c r="F113" s="170">
        <f t="shared" si="23"/>
        <v>-0.1114153017320134</v>
      </c>
      <c r="G113" s="245">
        <f t="shared" si="24"/>
        <v>0.091437051670421</v>
      </c>
      <c r="H113" s="246">
        <f t="shared" si="25"/>
        <v>0.908562948329579</v>
      </c>
      <c r="I113" s="161"/>
    </row>
    <row r="114" spans="1:9" ht="15.75">
      <c r="A114" s="168"/>
      <c r="B114" s="169">
        <f>DATE(12,10,1)</f>
        <v>4658</v>
      </c>
      <c r="C114" s="230">
        <v>171061398.64</v>
      </c>
      <c r="D114" s="230">
        <v>15608902.37</v>
      </c>
      <c r="E114" s="230">
        <v>17374664.98</v>
      </c>
      <c r="F114" s="170">
        <f t="shared" si="23"/>
        <v>-0.1016285846105564</v>
      </c>
      <c r="G114" s="245">
        <f t="shared" si="24"/>
        <v>0.09124736786964459</v>
      </c>
      <c r="H114" s="246">
        <f t="shared" si="25"/>
        <v>0.9087526321303554</v>
      </c>
      <c r="I114" s="161"/>
    </row>
    <row r="115" spans="1:9" ht="15.75">
      <c r="A115" s="168"/>
      <c r="B115" s="169">
        <f>DATE(12,11,1)</f>
        <v>4689</v>
      </c>
      <c r="C115" s="230">
        <v>173155589.82</v>
      </c>
      <c r="D115" s="230">
        <v>15873918.34</v>
      </c>
      <c r="E115" s="230">
        <v>16417596.9</v>
      </c>
      <c r="F115" s="170">
        <f t="shared" si="23"/>
        <v>-0.03311559927506812</v>
      </c>
      <c r="G115" s="245">
        <f t="shared" si="24"/>
        <v>0.09167430492137953</v>
      </c>
      <c r="H115" s="246">
        <f t="shared" si="25"/>
        <v>0.9083256950786205</v>
      </c>
      <c r="I115" s="161"/>
    </row>
    <row r="116" spans="1:9" ht="15.75">
      <c r="A116" s="168"/>
      <c r="B116" s="169">
        <f>DATE(12,12,1)</f>
        <v>4719</v>
      </c>
      <c r="C116" s="230">
        <v>176020881.84</v>
      </c>
      <c r="D116" s="230">
        <v>15759589.04</v>
      </c>
      <c r="E116" s="230">
        <v>18119209.69</v>
      </c>
      <c r="F116" s="170">
        <f t="shared" si="23"/>
        <v>-0.1302275700966294</v>
      </c>
      <c r="G116" s="245">
        <f t="shared" si="24"/>
        <v>0.08953249679958539</v>
      </c>
      <c r="H116" s="246">
        <f t="shared" si="25"/>
        <v>0.9104675032004146</v>
      </c>
      <c r="I116" s="161"/>
    </row>
    <row r="117" spans="1:9" ht="15.75">
      <c r="A117" s="168"/>
      <c r="B117" s="169">
        <f>DATE(13,1,1)</f>
        <v>4750</v>
      </c>
      <c r="C117" s="230">
        <v>165108577.24</v>
      </c>
      <c r="D117" s="230">
        <v>14856611.73</v>
      </c>
      <c r="E117" s="230">
        <v>16767038.12</v>
      </c>
      <c r="F117" s="170">
        <f t="shared" si="23"/>
        <v>-0.11393940756425017</v>
      </c>
      <c r="G117" s="245">
        <f t="shared" si="24"/>
        <v>0.08998085973695112</v>
      </c>
      <c r="H117" s="246">
        <f t="shared" si="25"/>
        <v>0.9100191402630489</v>
      </c>
      <c r="I117" s="161"/>
    </row>
    <row r="118" spans="1:9" ht="15.75">
      <c r="A118" s="168"/>
      <c r="B118" s="169">
        <f>DATE(13,2,1)</f>
        <v>4781</v>
      </c>
      <c r="C118" s="230">
        <v>159972318.09</v>
      </c>
      <c r="D118" s="230">
        <v>14597313.07</v>
      </c>
      <c r="E118" s="230">
        <v>16991639.57</v>
      </c>
      <c r="F118" s="170">
        <f t="shared" si="23"/>
        <v>-0.1409120344235268</v>
      </c>
      <c r="G118" s="245">
        <f t="shared" si="24"/>
        <v>0.09124899385272138</v>
      </c>
      <c r="H118" s="246">
        <f t="shared" si="25"/>
        <v>0.9087510061472787</v>
      </c>
      <c r="I118" s="161"/>
    </row>
    <row r="119" spans="1:9" ht="15.75">
      <c r="A119" s="168"/>
      <c r="B119" s="169">
        <f>DATE(13,3,1)</f>
        <v>4809</v>
      </c>
      <c r="C119" s="230">
        <v>189458589.73</v>
      </c>
      <c r="D119" s="230">
        <v>17382042.7</v>
      </c>
      <c r="E119" s="230">
        <v>18091917.27</v>
      </c>
      <c r="F119" s="170">
        <f t="shared" si="23"/>
        <v>-0.039237111214139454</v>
      </c>
      <c r="G119" s="245">
        <f t="shared" si="24"/>
        <v>0.09174586765778941</v>
      </c>
      <c r="H119" s="246">
        <f t="shared" si="25"/>
        <v>0.9082541323422106</v>
      </c>
      <c r="I119" s="161"/>
    </row>
    <row r="120" spans="1:9" ht="15.75">
      <c r="A120" s="168"/>
      <c r="B120" s="169">
        <f>DATE(13,4,1)</f>
        <v>4840</v>
      </c>
      <c r="C120" s="230">
        <v>168407341.3</v>
      </c>
      <c r="D120" s="230">
        <v>15406543.26</v>
      </c>
      <c r="E120" s="230">
        <v>15944347.05</v>
      </c>
      <c r="F120" s="170">
        <f t="shared" si="23"/>
        <v>-0.0337300604605192</v>
      </c>
      <c r="G120" s="245">
        <f t="shared" si="24"/>
        <v>0.09148379839662013</v>
      </c>
      <c r="H120" s="246">
        <f t="shared" si="25"/>
        <v>0.9085162016033799</v>
      </c>
      <c r="I120" s="161"/>
    </row>
    <row r="121" spans="1:9" ht="16.5" thickBot="1">
      <c r="A121" s="168"/>
      <c r="B121" s="169"/>
      <c r="C121" s="230"/>
      <c r="D121" s="230"/>
      <c r="E121" s="230"/>
      <c r="F121" s="170"/>
      <c r="G121" s="245"/>
      <c r="H121" s="246"/>
      <c r="I121" s="161"/>
    </row>
    <row r="122" spans="1:9" ht="17.25" thickBot="1" thickTop="1">
      <c r="A122" s="178" t="s">
        <v>14</v>
      </c>
      <c r="B122" s="185"/>
      <c r="C122" s="232">
        <f>SUM(C111:C121)</f>
        <v>1733678675.69</v>
      </c>
      <c r="D122" s="232">
        <f>SUM(D111:D121)</f>
        <v>157507347.07999998</v>
      </c>
      <c r="E122" s="232">
        <f>SUM(E111:E121)</f>
        <v>172620555.30000004</v>
      </c>
      <c r="F122" s="180">
        <f>(+D122-E122)/E122</f>
        <v>-0.08755161396471337</v>
      </c>
      <c r="G122" s="249">
        <f>D122/C122</f>
        <v>0.09085152242373427</v>
      </c>
      <c r="H122" s="250">
        <f>1-G122</f>
        <v>0.9091484775762657</v>
      </c>
      <c r="I122" s="161"/>
    </row>
    <row r="123" spans="1:9" ht="15.75" thickTop="1">
      <c r="A123" s="175"/>
      <c r="B123" s="176"/>
      <c r="C123" s="231"/>
      <c r="D123" s="231"/>
      <c r="E123" s="231"/>
      <c r="F123" s="177"/>
      <c r="G123" s="247"/>
      <c r="H123" s="248"/>
      <c r="I123" s="161"/>
    </row>
    <row r="124" spans="1:9" ht="15.75">
      <c r="A124" s="168" t="s">
        <v>59</v>
      </c>
      <c r="B124" s="169">
        <f>DATE(12,7,1)</f>
        <v>4566</v>
      </c>
      <c r="C124" s="230">
        <v>186705878.14</v>
      </c>
      <c r="D124" s="230">
        <v>16138075.07</v>
      </c>
      <c r="E124" s="230">
        <v>15506181.14</v>
      </c>
      <c r="F124" s="170">
        <f aca="true" t="shared" si="26" ref="F124:F133">(+D124-E124)/E124</f>
        <v>0.04075109946767974</v>
      </c>
      <c r="G124" s="245">
        <f aca="true" t="shared" si="27" ref="G124:G133">D124/C124</f>
        <v>0.08643581675505142</v>
      </c>
      <c r="H124" s="246">
        <f aca="true" t="shared" si="28" ref="H124:H133">1-G124</f>
        <v>0.9135641832449486</v>
      </c>
      <c r="I124" s="161"/>
    </row>
    <row r="125" spans="1:9" ht="15.75">
      <c r="A125" s="168"/>
      <c r="B125" s="169">
        <f>DATE(12,8,1)</f>
        <v>4597</v>
      </c>
      <c r="C125" s="230">
        <v>178802246.03</v>
      </c>
      <c r="D125" s="230">
        <v>16301867.17</v>
      </c>
      <c r="E125" s="230">
        <v>14737130.21</v>
      </c>
      <c r="F125" s="170">
        <f t="shared" si="26"/>
        <v>0.1061765036817164</v>
      </c>
      <c r="G125" s="245">
        <f t="shared" si="27"/>
        <v>0.09117260846524725</v>
      </c>
      <c r="H125" s="246">
        <f t="shared" si="28"/>
        <v>0.9088273915347528</v>
      </c>
      <c r="I125" s="161"/>
    </row>
    <row r="126" spans="1:9" ht="15.75">
      <c r="A126" s="168"/>
      <c r="B126" s="169">
        <f>DATE(12,9,1)</f>
        <v>4628</v>
      </c>
      <c r="C126" s="230">
        <v>167016943.42</v>
      </c>
      <c r="D126" s="230">
        <v>15059686.71</v>
      </c>
      <c r="E126" s="230">
        <v>14529889.4</v>
      </c>
      <c r="F126" s="170">
        <f t="shared" si="26"/>
        <v>0.036462583810169986</v>
      </c>
      <c r="G126" s="245">
        <f t="shared" si="27"/>
        <v>0.0901686164386878</v>
      </c>
      <c r="H126" s="246">
        <f t="shared" si="28"/>
        <v>0.9098313835613122</v>
      </c>
      <c r="I126" s="161"/>
    </row>
    <row r="127" spans="1:9" ht="15.75">
      <c r="A127" s="168"/>
      <c r="B127" s="169">
        <f>DATE(12,10,1)</f>
        <v>4658</v>
      </c>
      <c r="C127" s="230">
        <v>154426275.93</v>
      </c>
      <c r="D127" s="230">
        <v>14033296.77</v>
      </c>
      <c r="E127" s="230">
        <v>14521857.41</v>
      </c>
      <c r="F127" s="170">
        <f t="shared" si="26"/>
        <v>-0.03364312334202988</v>
      </c>
      <c r="G127" s="245">
        <f t="shared" si="27"/>
        <v>0.09087376280679825</v>
      </c>
      <c r="H127" s="246">
        <f t="shared" si="28"/>
        <v>0.9091262371932017</v>
      </c>
      <c r="I127" s="161"/>
    </row>
    <row r="128" spans="1:9" ht="15.75">
      <c r="A128" s="168"/>
      <c r="B128" s="169">
        <f>DATE(12,11,1)</f>
        <v>4689</v>
      </c>
      <c r="C128" s="230">
        <v>161211111.26</v>
      </c>
      <c r="D128" s="230">
        <v>14754518.63</v>
      </c>
      <c r="E128" s="230">
        <v>14333884.31</v>
      </c>
      <c r="F128" s="170">
        <f t="shared" si="26"/>
        <v>0.029345452419100786</v>
      </c>
      <c r="G128" s="245">
        <f t="shared" si="27"/>
        <v>0.09152296336574488</v>
      </c>
      <c r="H128" s="246">
        <f t="shared" si="28"/>
        <v>0.9084770366342552</v>
      </c>
      <c r="I128" s="161"/>
    </row>
    <row r="129" spans="1:9" ht="15.75">
      <c r="A129" s="168"/>
      <c r="B129" s="169">
        <f>DATE(12,12,1)</f>
        <v>4719</v>
      </c>
      <c r="C129" s="230">
        <v>172425695</v>
      </c>
      <c r="D129" s="230">
        <v>15778801.16</v>
      </c>
      <c r="E129" s="230">
        <v>15063108.56</v>
      </c>
      <c r="F129" s="170">
        <f t="shared" si="26"/>
        <v>0.047512941777537024</v>
      </c>
      <c r="G129" s="245">
        <f t="shared" si="27"/>
        <v>0.09151072965082148</v>
      </c>
      <c r="H129" s="246">
        <f t="shared" si="28"/>
        <v>0.9084892703491785</v>
      </c>
      <c r="I129" s="161"/>
    </row>
    <row r="130" spans="1:9" ht="15.75">
      <c r="A130" s="168"/>
      <c r="B130" s="169">
        <f>DATE(13,1,1)</f>
        <v>4750</v>
      </c>
      <c r="C130" s="230">
        <v>161137895.31</v>
      </c>
      <c r="D130" s="230">
        <v>14137131.57</v>
      </c>
      <c r="E130" s="230">
        <v>14122561.65</v>
      </c>
      <c r="F130" s="170">
        <f t="shared" si="26"/>
        <v>0.001031676855876917</v>
      </c>
      <c r="G130" s="245">
        <f t="shared" si="27"/>
        <v>0.08773312784558052</v>
      </c>
      <c r="H130" s="246">
        <f t="shared" si="28"/>
        <v>0.9122668721544195</v>
      </c>
      <c r="I130" s="161"/>
    </row>
    <row r="131" spans="1:9" ht="15.75">
      <c r="A131" s="168"/>
      <c r="B131" s="169">
        <f>DATE(13,2,1)</f>
        <v>4781</v>
      </c>
      <c r="C131" s="230">
        <v>163992576.85</v>
      </c>
      <c r="D131" s="230">
        <v>15205957.85</v>
      </c>
      <c r="E131" s="230">
        <v>15940348.72</v>
      </c>
      <c r="F131" s="170">
        <f t="shared" si="26"/>
        <v>-0.04607119222420631</v>
      </c>
      <c r="G131" s="245">
        <f t="shared" si="27"/>
        <v>0.09272345213471776</v>
      </c>
      <c r="H131" s="246">
        <f t="shared" si="28"/>
        <v>0.9072765478652822</v>
      </c>
      <c r="I131" s="161"/>
    </row>
    <row r="132" spans="1:9" ht="15.75">
      <c r="A132" s="168"/>
      <c r="B132" s="169">
        <f>DATE(13,3,1)</f>
        <v>4809</v>
      </c>
      <c r="C132" s="230">
        <v>185718752.56</v>
      </c>
      <c r="D132" s="230">
        <v>16996277.14</v>
      </c>
      <c r="E132" s="230">
        <v>17137689.55</v>
      </c>
      <c r="F132" s="170">
        <f t="shared" si="26"/>
        <v>-0.008251544619677168</v>
      </c>
      <c r="G132" s="245">
        <f t="shared" si="27"/>
        <v>0.09151621419871979</v>
      </c>
      <c r="H132" s="246">
        <f t="shared" si="28"/>
        <v>0.9084837858012802</v>
      </c>
      <c r="I132" s="161"/>
    </row>
    <row r="133" spans="1:9" ht="15.75">
      <c r="A133" s="168"/>
      <c r="B133" s="169">
        <f>DATE(13,4,1)</f>
        <v>4840</v>
      </c>
      <c r="C133" s="230">
        <v>167652044.65</v>
      </c>
      <c r="D133" s="230">
        <v>15110095.62</v>
      </c>
      <c r="E133" s="230">
        <v>15444229.44</v>
      </c>
      <c r="F133" s="170">
        <f t="shared" si="26"/>
        <v>-0.021634865067117284</v>
      </c>
      <c r="G133" s="245">
        <f t="shared" si="27"/>
        <v>0.09012771452650457</v>
      </c>
      <c r="H133" s="246">
        <f t="shared" si="28"/>
        <v>0.9098722854734954</v>
      </c>
      <c r="I133" s="161"/>
    </row>
    <row r="134" spans="1:9" ht="15.75" thickBot="1">
      <c r="A134" s="171"/>
      <c r="B134" s="172"/>
      <c r="C134" s="230"/>
      <c r="D134" s="230"/>
      <c r="E134" s="230"/>
      <c r="F134" s="170"/>
      <c r="G134" s="245"/>
      <c r="H134" s="246"/>
      <c r="I134" s="161"/>
    </row>
    <row r="135" spans="1:9" ht="17.25" thickBot="1" thickTop="1">
      <c r="A135" s="178" t="s">
        <v>14</v>
      </c>
      <c r="B135" s="179"/>
      <c r="C135" s="232">
        <f>SUM(C124:C134)</f>
        <v>1699089419.1499999</v>
      </c>
      <c r="D135" s="232">
        <f>SUM(D124:D134)</f>
        <v>153515707.69</v>
      </c>
      <c r="E135" s="232">
        <f>SUM(E124:E134)</f>
        <v>151336880.39000002</v>
      </c>
      <c r="F135" s="180">
        <f>(+D135-E135)/E135</f>
        <v>0.014397199773016822</v>
      </c>
      <c r="G135" s="253">
        <f>D135/C135</f>
        <v>0.0903517530977263</v>
      </c>
      <c r="H135" s="276">
        <f>1-G135</f>
        <v>0.9096482469022737</v>
      </c>
      <c r="I135" s="161"/>
    </row>
    <row r="136" spans="1:9" ht="15.75" thickTop="1">
      <c r="A136" s="171"/>
      <c r="B136" s="172"/>
      <c r="C136" s="230"/>
      <c r="D136" s="230"/>
      <c r="E136" s="230"/>
      <c r="F136" s="170"/>
      <c r="G136" s="245"/>
      <c r="H136" s="246"/>
      <c r="I136" s="161"/>
    </row>
    <row r="137" spans="1:9" ht="15.75">
      <c r="A137" s="168" t="s">
        <v>60</v>
      </c>
      <c r="B137" s="169">
        <f>DATE(12,7,1)</f>
        <v>4566</v>
      </c>
      <c r="C137" s="230">
        <v>35288274.77</v>
      </c>
      <c r="D137" s="230">
        <v>3163344.09</v>
      </c>
      <c r="E137" s="230">
        <v>3233712.85</v>
      </c>
      <c r="F137" s="170">
        <f aca="true" t="shared" si="29" ref="F137:F146">(+D137-E137)/E137</f>
        <v>-0.02176097979757239</v>
      </c>
      <c r="G137" s="245">
        <f aca="true" t="shared" si="30" ref="G137:G146">D137/C137</f>
        <v>0.08964292277301375</v>
      </c>
      <c r="H137" s="246">
        <f aca="true" t="shared" si="31" ref="H137:H146">1-G137</f>
        <v>0.9103570772269862</v>
      </c>
      <c r="I137" s="161"/>
    </row>
    <row r="138" spans="1:9" ht="15.75">
      <c r="A138" s="168"/>
      <c r="B138" s="169">
        <f>DATE(12,8,1)</f>
        <v>4597</v>
      </c>
      <c r="C138" s="230">
        <v>34759350.5</v>
      </c>
      <c r="D138" s="230">
        <v>3047645.81</v>
      </c>
      <c r="E138" s="230">
        <v>2839821.65</v>
      </c>
      <c r="F138" s="170">
        <f t="shared" si="29"/>
        <v>0.073182116912166</v>
      </c>
      <c r="G138" s="245">
        <f t="shared" si="30"/>
        <v>0.08767844525748547</v>
      </c>
      <c r="H138" s="246">
        <f t="shared" si="31"/>
        <v>0.9123215547425145</v>
      </c>
      <c r="I138" s="161"/>
    </row>
    <row r="139" spans="1:9" ht="15.75">
      <c r="A139" s="168"/>
      <c r="B139" s="169">
        <f>DATE(12,9,1)</f>
        <v>4628</v>
      </c>
      <c r="C139" s="230">
        <v>33310394.88</v>
      </c>
      <c r="D139" s="230">
        <v>2905512.2</v>
      </c>
      <c r="E139" s="230">
        <v>2911040.33</v>
      </c>
      <c r="F139" s="170">
        <f t="shared" si="29"/>
        <v>-0.0018990221272543785</v>
      </c>
      <c r="G139" s="245">
        <f t="shared" si="30"/>
        <v>0.08722539046646091</v>
      </c>
      <c r="H139" s="246">
        <f t="shared" si="31"/>
        <v>0.9127746095335391</v>
      </c>
      <c r="I139" s="161"/>
    </row>
    <row r="140" spans="1:9" ht="15.75">
      <c r="A140" s="168"/>
      <c r="B140" s="169">
        <f>DATE(12,10,1)</f>
        <v>4658</v>
      </c>
      <c r="C140" s="230">
        <v>32321352.91</v>
      </c>
      <c r="D140" s="230">
        <v>2862454.5</v>
      </c>
      <c r="E140" s="230">
        <v>2896008.45</v>
      </c>
      <c r="F140" s="170">
        <f t="shared" si="29"/>
        <v>-0.011586274895019793</v>
      </c>
      <c r="G140" s="245">
        <f t="shared" si="30"/>
        <v>0.08856233549290496</v>
      </c>
      <c r="H140" s="246">
        <f t="shared" si="31"/>
        <v>0.9114376645070951</v>
      </c>
      <c r="I140" s="161"/>
    </row>
    <row r="141" spans="1:9" ht="15.75">
      <c r="A141" s="168"/>
      <c r="B141" s="169">
        <f>DATE(12,11,1)</f>
        <v>4689</v>
      </c>
      <c r="C141" s="230">
        <v>32614191.57</v>
      </c>
      <c r="D141" s="230">
        <v>2947411.58</v>
      </c>
      <c r="E141" s="230">
        <v>2768952.95</v>
      </c>
      <c r="F141" s="170">
        <f t="shared" si="29"/>
        <v>0.06444986000935837</v>
      </c>
      <c r="G141" s="245">
        <f t="shared" si="30"/>
        <v>0.0903720570130937</v>
      </c>
      <c r="H141" s="246">
        <f t="shared" si="31"/>
        <v>0.9096279429869063</v>
      </c>
      <c r="I141" s="161"/>
    </row>
    <row r="142" spans="1:9" ht="15.75">
      <c r="A142" s="168"/>
      <c r="B142" s="169">
        <f>DATE(12,12,1)</f>
        <v>4719</v>
      </c>
      <c r="C142" s="230">
        <v>33643709.97</v>
      </c>
      <c r="D142" s="230">
        <v>2940149.68</v>
      </c>
      <c r="E142" s="230">
        <v>3214592.37</v>
      </c>
      <c r="F142" s="170">
        <f t="shared" si="29"/>
        <v>-0.08537402519872214</v>
      </c>
      <c r="G142" s="245">
        <f t="shared" si="30"/>
        <v>0.08739076881300319</v>
      </c>
      <c r="H142" s="246">
        <f t="shared" si="31"/>
        <v>0.9126092311869968</v>
      </c>
      <c r="I142" s="161"/>
    </row>
    <row r="143" spans="1:9" ht="15.75">
      <c r="A143" s="168"/>
      <c r="B143" s="169">
        <f>DATE(13,1,1)</f>
        <v>4750</v>
      </c>
      <c r="C143" s="230">
        <v>31471770.03</v>
      </c>
      <c r="D143" s="230">
        <v>2766418.93</v>
      </c>
      <c r="E143" s="230">
        <v>2841675.83</v>
      </c>
      <c r="F143" s="170">
        <f t="shared" si="29"/>
        <v>-0.026483281170041097</v>
      </c>
      <c r="G143" s="245">
        <f t="shared" si="30"/>
        <v>0.08790159966735116</v>
      </c>
      <c r="H143" s="246">
        <f t="shared" si="31"/>
        <v>0.9120984003326489</v>
      </c>
      <c r="I143" s="161"/>
    </row>
    <row r="144" spans="1:9" ht="15.75">
      <c r="A144" s="168"/>
      <c r="B144" s="169">
        <f>DATE(13,2,1)</f>
        <v>4781</v>
      </c>
      <c r="C144" s="230">
        <v>31910456.69</v>
      </c>
      <c r="D144" s="230">
        <v>2885970.9</v>
      </c>
      <c r="E144" s="230">
        <v>3369381.09</v>
      </c>
      <c r="F144" s="170">
        <f t="shared" si="29"/>
        <v>-0.14347150918449536</v>
      </c>
      <c r="G144" s="245">
        <f t="shared" si="30"/>
        <v>0.09043966145756843</v>
      </c>
      <c r="H144" s="246">
        <f t="shared" si="31"/>
        <v>0.9095603385424316</v>
      </c>
      <c r="I144" s="161"/>
    </row>
    <row r="145" spans="1:9" ht="15.75">
      <c r="A145" s="168"/>
      <c r="B145" s="169">
        <f>DATE(13,3,1)</f>
        <v>4809</v>
      </c>
      <c r="C145" s="230">
        <v>37725849.56</v>
      </c>
      <c r="D145" s="230">
        <v>3436064.85</v>
      </c>
      <c r="E145" s="230">
        <v>3387512.68</v>
      </c>
      <c r="F145" s="170">
        <f t="shared" si="29"/>
        <v>0.014332690261693698</v>
      </c>
      <c r="G145" s="245">
        <f t="shared" si="30"/>
        <v>0.09107985347116461</v>
      </c>
      <c r="H145" s="246">
        <f t="shared" si="31"/>
        <v>0.9089201465288353</v>
      </c>
      <c r="I145" s="161"/>
    </row>
    <row r="146" spans="1:9" ht="15.75">
      <c r="A146" s="168"/>
      <c r="B146" s="169">
        <f>DATE(13,4,1)</f>
        <v>4840</v>
      </c>
      <c r="C146" s="230">
        <v>32597610.91</v>
      </c>
      <c r="D146" s="230">
        <v>3051309.05</v>
      </c>
      <c r="E146" s="230">
        <v>3127168.97</v>
      </c>
      <c r="F146" s="170">
        <f t="shared" si="29"/>
        <v>-0.02425833740605337</v>
      </c>
      <c r="G146" s="245">
        <f t="shared" si="30"/>
        <v>0.09360529697788211</v>
      </c>
      <c r="H146" s="246">
        <f t="shared" si="31"/>
        <v>0.9063947030221179</v>
      </c>
      <c r="I146" s="161"/>
    </row>
    <row r="147" spans="1:9" ht="15.75" thickBot="1">
      <c r="A147" s="171"/>
      <c r="B147" s="172"/>
      <c r="C147" s="230"/>
      <c r="D147" s="230"/>
      <c r="E147" s="230"/>
      <c r="F147" s="170"/>
      <c r="G147" s="245"/>
      <c r="H147" s="246"/>
      <c r="I147" s="161"/>
    </row>
    <row r="148" spans="1:9" ht="17.25" thickBot="1" thickTop="1">
      <c r="A148" s="186" t="s">
        <v>14</v>
      </c>
      <c r="B148" s="187"/>
      <c r="C148" s="234">
        <f>SUM(C137:C147)</f>
        <v>335642961.79</v>
      </c>
      <c r="D148" s="234">
        <f>SUM(D137:D147)</f>
        <v>30006281.590000004</v>
      </c>
      <c r="E148" s="234">
        <f>SUM(E137:E147)</f>
        <v>30589867.169999998</v>
      </c>
      <c r="F148" s="180">
        <f>(+D148-E148)/E148</f>
        <v>-0.019077741552677507</v>
      </c>
      <c r="G148" s="253">
        <f>D148/C148</f>
        <v>0.08939940653000755</v>
      </c>
      <c r="H148" s="250">
        <f>1-G148</f>
        <v>0.9106005934699924</v>
      </c>
      <c r="I148" s="161"/>
    </row>
    <row r="149" spans="1:9" ht="15.75" thickTop="1">
      <c r="A149" s="171"/>
      <c r="B149" s="172"/>
      <c r="C149" s="230"/>
      <c r="D149" s="230"/>
      <c r="E149" s="230"/>
      <c r="F149" s="170"/>
      <c r="G149" s="245"/>
      <c r="H149" s="246"/>
      <c r="I149" s="161"/>
    </row>
    <row r="150" spans="1:9" ht="15.75">
      <c r="A150" s="168" t="s">
        <v>40</v>
      </c>
      <c r="B150" s="169">
        <f>DATE(12,7,1)</f>
        <v>4566</v>
      </c>
      <c r="C150" s="230">
        <v>235102823.12</v>
      </c>
      <c r="D150" s="230">
        <v>22090527.91</v>
      </c>
      <c r="E150" s="230">
        <v>21938101.88</v>
      </c>
      <c r="F150" s="170">
        <f aca="true" t="shared" si="32" ref="F150:F159">(+D150-E150)/E150</f>
        <v>0.0069480044733934475</v>
      </c>
      <c r="G150" s="245">
        <f aca="true" t="shared" si="33" ref="G150:G159">D150/C150</f>
        <v>0.09396113418308322</v>
      </c>
      <c r="H150" s="246">
        <f aca="true" t="shared" si="34" ref="H150:H159">1-G150</f>
        <v>0.9060388658169167</v>
      </c>
      <c r="I150" s="161"/>
    </row>
    <row r="151" spans="1:9" ht="15.75">
      <c r="A151" s="168"/>
      <c r="B151" s="169">
        <f>DATE(12,8,1)</f>
        <v>4597</v>
      </c>
      <c r="C151" s="230">
        <v>229613891.4</v>
      </c>
      <c r="D151" s="230">
        <v>21449923.71</v>
      </c>
      <c r="E151" s="230">
        <v>20831707.22</v>
      </c>
      <c r="F151" s="170">
        <f t="shared" si="32"/>
        <v>0.029676707889138725</v>
      </c>
      <c r="G151" s="245">
        <f t="shared" si="33"/>
        <v>0.09341736067977288</v>
      </c>
      <c r="H151" s="246">
        <f t="shared" si="34"/>
        <v>0.9065826393202271</v>
      </c>
      <c r="I151" s="161"/>
    </row>
    <row r="152" spans="1:9" ht="15.75">
      <c r="A152" s="168"/>
      <c r="B152" s="169">
        <f>DATE(12,9,1)</f>
        <v>4628</v>
      </c>
      <c r="C152" s="230">
        <v>221143703.34</v>
      </c>
      <c r="D152" s="230">
        <v>20533324.03</v>
      </c>
      <c r="E152" s="230">
        <v>20279224.57</v>
      </c>
      <c r="F152" s="170">
        <f t="shared" si="32"/>
        <v>0.012530038272563047</v>
      </c>
      <c r="G152" s="245">
        <f t="shared" si="33"/>
        <v>0.0928505931657968</v>
      </c>
      <c r="H152" s="246">
        <f t="shared" si="34"/>
        <v>0.9071494068342032</v>
      </c>
      <c r="I152" s="161"/>
    </row>
    <row r="153" spans="1:9" ht="15.75">
      <c r="A153" s="168"/>
      <c r="B153" s="169">
        <f>DATE(12,10,1)</f>
        <v>4658</v>
      </c>
      <c r="C153" s="230">
        <v>212140271.78</v>
      </c>
      <c r="D153" s="230">
        <v>19747693.37</v>
      </c>
      <c r="E153" s="230">
        <v>19929857.06</v>
      </c>
      <c r="F153" s="170">
        <f t="shared" si="32"/>
        <v>-0.009140240667636662</v>
      </c>
      <c r="G153" s="245">
        <f t="shared" si="33"/>
        <v>0.09308790454685256</v>
      </c>
      <c r="H153" s="246">
        <f t="shared" si="34"/>
        <v>0.9069120954531474</v>
      </c>
      <c r="I153" s="161"/>
    </row>
    <row r="154" spans="1:9" ht="15.75">
      <c r="A154" s="168"/>
      <c r="B154" s="169">
        <f>DATE(12,11,1)</f>
        <v>4689</v>
      </c>
      <c r="C154" s="230">
        <v>219060879.41</v>
      </c>
      <c r="D154" s="230">
        <v>20080028.35</v>
      </c>
      <c r="E154" s="230">
        <v>19431117.33</v>
      </c>
      <c r="F154" s="170">
        <f t="shared" si="32"/>
        <v>0.03339545580315856</v>
      </c>
      <c r="G154" s="245">
        <f t="shared" si="33"/>
        <v>0.09166414562053182</v>
      </c>
      <c r="H154" s="246">
        <f t="shared" si="34"/>
        <v>0.9083358543794682</v>
      </c>
      <c r="I154" s="161"/>
    </row>
    <row r="155" spans="1:9" ht="15.75">
      <c r="A155" s="168"/>
      <c r="B155" s="169">
        <f>DATE(12,12,1)</f>
        <v>4719</v>
      </c>
      <c r="C155" s="230">
        <v>225679184.48</v>
      </c>
      <c r="D155" s="230">
        <v>20752851.84</v>
      </c>
      <c r="E155" s="230">
        <v>21288064.45</v>
      </c>
      <c r="F155" s="170">
        <f t="shared" si="32"/>
        <v>-0.02514144070058936</v>
      </c>
      <c r="G155" s="245">
        <f t="shared" si="33"/>
        <v>0.09195731492834754</v>
      </c>
      <c r="H155" s="246">
        <f t="shared" si="34"/>
        <v>0.9080426850716524</v>
      </c>
      <c r="I155" s="161"/>
    </row>
    <row r="156" spans="1:9" ht="15.75">
      <c r="A156" s="168"/>
      <c r="B156" s="169">
        <f>DATE(13,1,1)</f>
        <v>4750</v>
      </c>
      <c r="C156" s="230">
        <v>207275807.6</v>
      </c>
      <c r="D156" s="230">
        <v>18843525.52</v>
      </c>
      <c r="E156" s="230">
        <v>19423296.42</v>
      </c>
      <c r="F156" s="170">
        <f t="shared" si="32"/>
        <v>-0.029849253569698763</v>
      </c>
      <c r="G156" s="245">
        <f t="shared" si="33"/>
        <v>0.09091039488971216</v>
      </c>
      <c r="H156" s="246">
        <f t="shared" si="34"/>
        <v>0.9090896051102878</v>
      </c>
      <c r="I156" s="161"/>
    </row>
    <row r="157" spans="1:9" ht="15.75">
      <c r="A157" s="168"/>
      <c r="B157" s="169">
        <f>DATE(13,2,1)</f>
        <v>4781</v>
      </c>
      <c r="C157" s="230">
        <v>210164439.05</v>
      </c>
      <c r="D157" s="230">
        <v>19736169.85</v>
      </c>
      <c r="E157" s="230">
        <v>21321818.99</v>
      </c>
      <c r="F157" s="170">
        <f t="shared" si="32"/>
        <v>-0.0743674421372619</v>
      </c>
      <c r="G157" s="245">
        <f t="shared" si="33"/>
        <v>0.09390822700173643</v>
      </c>
      <c r="H157" s="246">
        <f t="shared" si="34"/>
        <v>0.9060917729982636</v>
      </c>
      <c r="I157" s="161"/>
    </row>
    <row r="158" spans="1:9" ht="15.75">
      <c r="A158" s="168"/>
      <c r="B158" s="169">
        <f>DATE(13,3,1)</f>
        <v>4809</v>
      </c>
      <c r="C158" s="230">
        <v>239501962.98</v>
      </c>
      <c r="D158" s="230">
        <v>22043911.37</v>
      </c>
      <c r="E158" s="230">
        <v>22313668.05</v>
      </c>
      <c r="F158" s="170">
        <f t="shared" si="32"/>
        <v>-0.012089302368195788</v>
      </c>
      <c r="G158" s="245">
        <f t="shared" si="33"/>
        <v>0.09204062921121367</v>
      </c>
      <c r="H158" s="246">
        <f t="shared" si="34"/>
        <v>0.9079593707887863</v>
      </c>
      <c r="I158" s="161"/>
    </row>
    <row r="159" spans="1:9" ht="15.75">
      <c r="A159" s="168"/>
      <c r="B159" s="169">
        <f>DATE(13,4,1)</f>
        <v>4840</v>
      </c>
      <c r="C159" s="230">
        <v>212224507.53</v>
      </c>
      <c r="D159" s="230">
        <v>19648045.61</v>
      </c>
      <c r="E159" s="230">
        <v>20250802.51</v>
      </c>
      <c r="F159" s="170">
        <f t="shared" si="32"/>
        <v>-0.029764593265000548</v>
      </c>
      <c r="G159" s="245">
        <f t="shared" si="33"/>
        <v>0.09258141690927263</v>
      </c>
      <c r="H159" s="246">
        <f t="shared" si="34"/>
        <v>0.9074185830907273</v>
      </c>
      <c r="I159" s="161"/>
    </row>
    <row r="160" spans="1:9" ht="15.75" thickBot="1">
      <c r="A160" s="171"/>
      <c r="B160" s="172"/>
      <c r="C160" s="230"/>
      <c r="D160" s="230"/>
      <c r="E160" s="230"/>
      <c r="F160" s="170"/>
      <c r="G160" s="245"/>
      <c r="H160" s="246"/>
      <c r="I160" s="161"/>
    </row>
    <row r="161" spans="1:9" ht="17.25" thickBot="1" thickTop="1">
      <c r="A161" s="178" t="s">
        <v>14</v>
      </c>
      <c r="B161" s="179"/>
      <c r="C161" s="232">
        <f>SUM(C150:C160)</f>
        <v>2211907470.69</v>
      </c>
      <c r="D161" s="232">
        <f>SUM(D150:D160)</f>
        <v>204926001.56</v>
      </c>
      <c r="E161" s="232">
        <f>SUM(E150:E160)</f>
        <v>207007658.48000002</v>
      </c>
      <c r="F161" s="180">
        <f>(+D161-E161)/E161</f>
        <v>-0.01005594157861138</v>
      </c>
      <c r="G161" s="249">
        <f>D161/C161</f>
        <v>0.09264673331749892</v>
      </c>
      <c r="H161" s="250">
        <f>1-G161</f>
        <v>0.907353266682501</v>
      </c>
      <c r="I161" s="161"/>
    </row>
    <row r="162" spans="1:9" ht="15.75" thickTop="1">
      <c r="A162" s="171"/>
      <c r="B162" s="172"/>
      <c r="C162" s="230"/>
      <c r="D162" s="230"/>
      <c r="E162" s="230"/>
      <c r="F162" s="170"/>
      <c r="G162" s="245"/>
      <c r="H162" s="246"/>
      <c r="I162" s="161"/>
    </row>
    <row r="163" spans="1:9" ht="15.75">
      <c r="A163" s="168" t="s">
        <v>70</v>
      </c>
      <c r="B163" s="169">
        <f>DATE(12,7,1)</f>
        <v>4566</v>
      </c>
      <c r="C163" s="230">
        <v>35280326.42</v>
      </c>
      <c r="D163" s="230">
        <v>3237074.33</v>
      </c>
      <c r="E163" s="230">
        <v>0</v>
      </c>
      <c r="F163" s="170">
        <v>1</v>
      </c>
      <c r="G163" s="245">
        <f aca="true" t="shared" si="35" ref="G163:G172">D163/C163</f>
        <v>0.09175295861675874</v>
      </c>
      <c r="H163" s="246">
        <f aca="true" t="shared" si="36" ref="H163:H172">1-G163</f>
        <v>0.9082470413832413</v>
      </c>
      <c r="I163" s="161"/>
    </row>
    <row r="164" spans="1:9" ht="15.75">
      <c r="A164" s="168"/>
      <c r="B164" s="169">
        <f>DATE(12,8,1)</f>
        <v>4597</v>
      </c>
      <c r="C164" s="230">
        <v>34626504.86</v>
      </c>
      <c r="D164" s="230">
        <v>3078065.54</v>
      </c>
      <c r="E164" s="230">
        <v>0</v>
      </c>
      <c r="F164" s="170">
        <v>1</v>
      </c>
      <c r="G164" s="245">
        <f t="shared" si="35"/>
        <v>0.08889333625917681</v>
      </c>
      <c r="H164" s="246">
        <f t="shared" si="36"/>
        <v>0.9111066637408232</v>
      </c>
      <c r="I164" s="161"/>
    </row>
    <row r="165" spans="1:9" ht="15.75">
      <c r="A165" s="168"/>
      <c r="B165" s="169">
        <f>DATE(12,9,1)</f>
        <v>4628</v>
      </c>
      <c r="C165" s="230">
        <v>33709047.03</v>
      </c>
      <c r="D165" s="230">
        <v>3025142.38</v>
      </c>
      <c r="E165" s="230">
        <v>339032.27</v>
      </c>
      <c r="F165" s="170">
        <f aca="true" t="shared" si="37" ref="F165:F172">(+D165-E165)/E165</f>
        <v>7.922874450859795</v>
      </c>
      <c r="G165" s="245">
        <f t="shared" si="35"/>
        <v>0.08974274405644625</v>
      </c>
      <c r="H165" s="246">
        <f t="shared" si="36"/>
        <v>0.9102572559435538</v>
      </c>
      <c r="I165" s="161"/>
    </row>
    <row r="166" spans="1:9" ht="15.75">
      <c r="A166" s="168"/>
      <c r="B166" s="169">
        <f>DATE(12,10,1)</f>
        <v>4658</v>
      </c>
      <c r="C166" s="230">
        <v>33499709.08</v>
      </c>
      <c r="D166" s="230">
        <v>3023456.63</v>
      </c>
      <c r="E166" s="230">
        <v>3359957.21</v>
      </c>
      <c r="F166" s="170">
        <f t="shared" si="37"/>
        <v>-0.10015025756830995</v>
      </c>
      <c r="G166" s="245">
        <f t="shared" si="35"/>
        <v>0.09025322049154942</v>
      </c>
      <c r="H166" s="246">
        <f t="shared" si="36"/>
        <v>0.9097467795084506</v>
      </c>
      <c r="I166" s="161"/>
    </row>
    <row r="167" spans="1:9" ht="15.75">
      <c r="A167" s="168"/>
      <c r="B167" s="169">
        <f>DATE(12,11,1)</f>
        <v>4689</v>
      </c>
      <c r="C167" s="230">
        <v>33844683.11</v>
      </c>
      <c r="D167" s="230">
        <v>2971181.48</v>
      </c>
      <c r="E167" s="230">
        <v>3059858.87</v>
      </c>
      <c r="F167" s="170">
        <f t="shared" si="37"/>
        <v>-0.028980875840198515</v>
      </c>
      <c r="G167" s="245">
        <f t="shared" si="35"/>
        <v>0.08778872209685759</v>
      </c>
      <c r="H167" s="246">
        <f t="shared" si="36"/>
        <v>0.9122112779031424</v>
      </c>
      <c r="I167" s="161"/>
    </row>
    <row r="168" spans="1:9" ht="15.75">
      <c r="A168" s="168"/>
      <c r="B168" s="169">
        <f>DATE(12,12,1)</f>
        <v>4719</v>
      </c>
      <c r="C168" s="230">
        <v>35981745.52</v>
      </c>
      <c r="D168" s="230">
        <v>3211065.19</v>
      </c>
      <c r="E168" s="230">
        <v>3209546.49</v>
      </c>
      <c r="F168" s="170">
        <f t="shared" si="37"/>
        <v>0.00047318211614368</v>
      </c>
      <c r="G168" s="245">
        <f t="shared" si="35"/>
        <v>0.08924150686950887</v>
      </c>
      <c r="H168" s="246">
        <f t="shared" si="36"/>
        <v>0.9107584931304912</v>
      </c>
      <c r="I168" s="161"/>
    </row>
    <row r="169" spans="1:9" ht="15.75">
      <c r="A169" s="168"/>
      <c r="B169" s="169">
        <f>DATE(13,1,1)</f>
        <v>4750</v>
      </c>
      <c r="C169" s="230">
        <v>32307643.49</v>
      </c>
      <c r="D169" s="230">
        <v>2916329.4</v>
      </c>
      <c r="E169" s="230">
        <v>3077110.03</v>
      </c>
      <c r="F169" s="170">
        <f t="shared" si="37"/>
        <v>-0.052250530020858534</v>
      </c>
      <c r="G169" s="245">
        <f t="shared" si="35"/>
        <v>0.09026747496773248</v>
      </c>
      <c r="H169" s="246">
        <f t="shared" si="36"/>
        <v>0.9097325250322675</v>
      </c>
      <c r="I169" s="161"/>
    </row>
    <row r="170" spans="1:9" ht="15.75">
      <c r="A170" s="168"/>
      <c r="B170" s="169">
        <f>DATE(13,2,1)</f>
        <v>4781</v>
      </c>
      <c r="C170" s="230">
        <v>33763785.63</v>
      </c>
      <c r="D170" s="230">
        <v>3105363.2</v>
      </c>
      <c r="E170" s="230">
        <v>3543921.09</v>
      </c>
      <c r="F170" s="170">
        <f t="shared" si="37"/>
        <v>-0.12374933833529564</v>
      </c>
      <c r="G170" s="245">
        <f t="shared" si="35"/>
        <v>0.09197319382459306</v>
      </c>
      <c r="H170" s="246">
        <f t="shared" si="36"/>
        <v>0.908026806175407</v>
      </c>
      <c r="I170" s="161"/>
    </row>
    <row r="171" spans="1:9" ht="15.75">
      <c r="A171" s="168"/>
      <c r="B171" s="169">
        <f>DATE(13,3,1)</f>
        <v>4809</v>
      </c>
      <c r="C171" s="230">
        <v>39587201.32</v>
      </c>
      <c r="D171" s="230">
        <v>3512485.75</v>
      </c>
      <c r="E171" s="230">
        <v>3416213.84</v>
      </c>
      <c r="F171" s="170">
        <f t="shared" si="37"/>
        <v>0.02818087933277624</v>
      </c>
      <c r="G171" s="245">
        <f t="shared" si="35"/>
        <v>0.0887278118401728</v>
      </c>
      <c r="H171" s="246">
        <f t="shared" si="36"/>
        <v>0.9112721881598272</v>
      </c>
      <c r="I171" s="161"/>
    </row>
    <row r="172" spans="1:9" ht="15.75">
      <c r="A172" s="168"/>
      <c r="B172" s="169">
        <f>DATE(13,4,1)</f>
        <v>4840</v>
      </c>
      <c r="C172" s="230">
        <v>34809683.49</v>
      </c>
      <c r="D172" s="230">
        <v>3162922.76</v>
      </c>
      <c r="E172" s="230">
        <v>3171087.97</v>
      </c>
      <c r="F172" s="170">
        <f t="shared" si="37"/>
        <v>-0.002574892301080007</v>
      </c>
      <c r="G172" s="245">
        <f t="shared" si="35"/>
        <v>0.09086330132558179</v>
      </c>
      <c r="H172" s="246">
        <f t="shared" si="36"/>
        <v>0.9091366986744183</v>
      </c>
      <c r="I172" s="161"/>
    </row>
    <row r="173" spans="1:9" ht="15.75" thickBot="1">
      <c r="A173" s="171"/>
      <c r="B173" s="172"/>
      <c r="C173" s="230"/>
      <c r="D173" s="230"/>
      <c r="E173" s="230"/>
      <c r="F173" s="170"/>
      <c r="G173" s="245"/>
      <c r="H173" s="246"/>
      <c r="I173" s="161"/>
    </row>
    <row r="174" spans="1:9" ht="17.25" thickBot="1" thickTop="1">
      <c r="A174" s="173" t="s">
        <v>14</v>
      </c>
      <c r="B174" s="159"/>
      <c r="C174" s="227">
        <f>SUM(C163:C173)</f>
        <v>347410329.95000005</v>
      </c>
      <c r="D174" s="227">
        <f>SUM(D163:D173)</f>
        <v>31243086.659999996</v>
      </c>
      <c r="E174" s="227">
        <f>SUM(E163:E173)</f>
        <v>23176727.769999996</v>
      </c>
      <c r="F174" s="174">
        <v>1</v>
      </c>
      <c r="G174" s="249">
        <f>D174/C174</f>
        <v>0.0899313692384926</v>
      </c>
      <c r="H174" s="250">
        <f>1-G174</f>
        <v>0.9100686307615073</v>
      </c>
      <c r="I174" s="161"/>
    </row>
    <row r="175" spans="1:9" ht="16.5" thickBot="1" thickTop="1">
      <c r="A175" s="175"/>
      <c r="B175" s="176"/>
      <c r="C175" s="231"/>
      <c r="D175" s="231"/>
      <c r="E175" s="231"/>
      <c r="F175" s="177"/>
      <c r="G175" s="247"/>
      <c r="H175" s="248"/>
      <c r="I175" s="161"/>
    </row>
    <row r="176" spans="1:9" ht="17.25" thickBot="1" thickTop="1">
      <c r="A176" s="188" t="s">
        <v>41</v>
      </c>
      <c r="B176" s="159"/>
      <c r="C176" s="227">
        <f>C174+C161+C122+C96+C73+C47+C21+C60+C148+C34+C109+C135+C83</f>
        <v>13764593560.000002</v>
      </c>
      <c r="D176" s="227">
        <f>D174+D161+D122+D96+D73+D47+D21+D60+D148+D34+D109+D135+D83</f>
        <v>1281858906.5299997</v>
      </c>
      <c r="E176" s="227">
        <f>E174+E161+E122+E96+E73+E47+E21+E60+E148+E34+E109+E135+E83</f>
        <v>1328935030.0900002</v>
      </c>
      <c r="F176" s="174">
        <f>(+D176-E176)/E176</f>
        <v>-0.03542394661446486</v>
      </c>
      <c r="G176" s="240">
        <f>D176/C176</f>
        <v>0.09312726169082755</v>
      </c>
      <c r="H176" s="241">
        <f>1-G176</f>
        <v>0.9068727383091725</v>
      </c>
      <c r="I176" s="161"/>
    </row>
    <row r="177" spans="1:9" ht="17.25" thickBot="1" thickTop="1">
      <c r="A177" s="188"/>
      <c r="B177" s="159"/>
      <c r="C177" s="227"/>
      <c r="D177" s="227"/>
      <c r="E177" s="227"/>
      <c r="F177" s="174"/>
      <c r="G177" s="240"/>
      <c r="H177" s="241"/>
      <c r="I177" s="161"/>
    </row>
    <row r="178" spans="1:9" ht="17.25" thickBot="1" thickTop="1">
      <c r="A178" s="188" t="s">
        <v>42</v>
      </c>
      <c r="B178" s="159"/>
      <c r="C178" s="227">
        <f>+C19+C32+C45+C58+C71+C94+C107+C120+C133+C146+C159+C172+C81</f>
        <v>1364694989.06</v>
      </c>
      <c r="D178" s="227">
        <f>+D19+D32+D45+D58+D71+D94+D107+D120+D133+D146+D159+D172+D81</f>
        <v>127663474.02000001</v>
      </c>
      <c r="E178" s="227">
        <f>+E19+E32+E45+E58+E71+E94+E107+E120+E133+E146+E159+E172+E81</f>
        <v>128999094.36000001</v>
      </c>
      <c r="F178" s="174">
        <f>(+D178-E178)/E178</f>
        <v>-0.010353718734432853</v>
      </c>
      <c r="G178" s="240">
        <f>D178/C178</f>
        <v>0.09354725784399226</v>
      </c>
      <c r="H178" s="250">
        <f>1-G178</f>
        <v>0.9064527421560078</v>
      </c>
      <c r="I178" s="161"/>
    </row>
    <row r="179" spans="1:9" ht="16.5" thickTop="1">
      <c r="A179" s="189"/>
      <c r="B179" s="190"/>
      <c r="C179" s="235"/>
      <c r="D179" s="235"/>
      <c r="E179" s="235"/>
      <c r="F179" s="191"/>
      <c r="G179" s="254"/>
      <c r="H179" s="254"/>
      <c r="I179" s="154"/>
    </row>
    <row r="180" spans="1:18" s="3" customFormat="1" ht="15.75">
      <c r="A180" s="280" t="s">
        <v>66</v>
      </c>
      <c r="B180" s="265"/>
      <c r="C180" s="266"/>
      <c r="D180" s="265"/>
      <c r="E180" s="265"/>
      <c r="F180" s="265"/>
      <c r="G180" s="265"/>
      <c r="H180" s="265"/>
      <c r="I180" s="265"/>
      <c r="J180" s="265"/>
      <c r="K180" s="266"/>
      <c r="L180" s="266"/>
      <c r="M180" s="265"/>
      <c r="R180" s="2"/>
    </row>
    <row r="181" spans="1:18" s="3" customFormat="1" ht="15.75">
      <c r="A181" s="260" t="s">
        <v>65</v>
      </c>
      <c r="B181" s="262"/>
      <c r="C181" s="263"/>
      <c r="D181" s="263"/>
      <c r="E181" s="263"/>
      <c r="F181" s="264"/>
      <c r="G181" s="261"/>
      <c r="H181" s="261"/>
      <c r="I181" s="265"/>
      <c r="J181" s="265"/>
      <c r="K181" s="266"/>
      <c r="L181" s="266"/>
      <c r="M181" s="265"/>
      <c r="R181" s="2"/>
    </row>
    <row r="182" spans="1:18" s="3" customFormat="1" ht="15.75">
      <c r="A182" s="260" t="s">
        <v>71</v>
      </c>
      <c r="B182" s="262"/>
      <c r="C182" s="263"/>
      <c r="D182" s="263"/>
      <c r="E182" s="263"/>
      <c r="F182" s="264"/>
      <c r="G182" s="261"/>
      <c r="H182" s="261"/>
      <c r="I182" s="265"/>
      <c r="J182" s="265"/>
      <c r="K182" s="266"/>
      <c r="L182" s="266"/>
      <c r="M182" s="265"/>
      <c r="R182" s="2"/>
    </row>
    <row r="183" spans="1:9" ht="16.5" customHeight="1">
      <c r="A183" s="192" t="s">
        <v>52</v>
      </c>
      <c r="B183" s="193"/>
      <c r="C183" s="236"/>
      <c r="D183" s="236"/>
      <c r="E183" s="236"/>
      <c r="F183" s="194"/>
      <c r="G183" s="255"/>
      <c r="H183" s="255"/>
      <c r="I183" s="154"/>
    </row>
    <row r="184" spans="1:9" ht="15.75">
      <c r="A184" s="195"/>
      <c r="B184" s="193"/>
      <c r="C184" s="236"/>
      <c r="D184" s="236"/>
      <c r="E184" s="236"/>
      <c r="F184" s="194"/>
      <c r="G184" s="261"/>
      <c r="H184" s="261"/>
      <c r="I184" s="154"/>
    </row>
    <row r="185" spans="1:9" ht="15.75">
      <c r="A185" s="73"/>
      <c r="I185" s="154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3" manualBreakCount="3">
    <brk id="47" max="8" man="1"/>
    <brk id="96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2013-05-09T13:32:42Z</cp:lastPrinted>
  <dcterms:created xsi:type="dcterms:W3CDTF">2003-09-09T14:41:43Z</dcterms:created>
  <dcterms:modified xsi:type="dcterms:W3CDTF">2013-05-09T13:57:50Z</dcterms:modified>
  <cp:category/>
  <cp:version/>
  <cp:contentType/>
  <cp:contentStatus/>
</cp:coreProperties>
</file>