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STATS'!$A$1:$M$211</definedName>
    <definedName name="_xlnm.Print_Area" localSheetId="3">'SLOT STATS'!$A$1:$I$212</definedName>
    <definedName name="_xlnm.Print_Area" localSheetId="2">'TABLE STATS'!$A$1:$H$211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<sst xmlns="http://schemas.openxmlformats.org/spreadsheetml/2006/main" count="207" uniqueCount="84">
  <si>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</si>
  <si>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</si>
  <si>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</si>
  <si>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</si>
  <si>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</si>
  <si>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</si>
  <si>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</si>
  <si>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</si>
  <si>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</si>
  <si>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</si>
  <si>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</si>
  <si>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</si>
  <si>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</si>
  <si>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</si>
  <si>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</si>
  <si>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</si>
  <si>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</si>
  <si>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</si>
  <si>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</si>
  <si>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</si>
  <si>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</si>
  <si>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</si>
  <si>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</si>
  <si>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</si>
  <si>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</si>
  <si>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</si>
  <si>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</si>
  <si>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</si>
  <si>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</si>
  <si>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</si>
  <si>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</si>
  <si>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</si>
  <si>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</si>
  <si>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</si>
  <si>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</si>
  <si>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</si>
  <si>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</si>
  <si>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</si>
  <si>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</si>
  <si>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</si>
  <si>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</si>
  <si>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</si>
  <si>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</si>
  <si>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</si>
  <si>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</si>
  <si>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</si>
  <si>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</si>
  <si>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</si>
  <si>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</si>
  <si>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</si>
  <si>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</si>
  <si>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</si>
  <si>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</si>
  <si>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</si>
  <si>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</si>
  <si>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</si>
  <si>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</si>
  <si>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 xml:space="preserve">LUMIERE PLACE 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</si>
  <si>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</si>
  <si>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</si>
  <si>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</si>
  <si>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</si>
  <si>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</si>
  <si>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* Isle Of Capri - Cape Girardeau opened 10/30/12.</t>
  </si>
  <si>
    <t>IOC - CAPE GIRARDEAU *</t>
  </si>
  <si>
    <t xml:space="preserve"> Isle Of Capri - Cape Girardeau opened 10/30/12.</t>
  </si>
  <si>
    <t>HARRAHS MH/</t>
  </si>
  <si>
    <t>HOLLYWOOD</t>
  </si>
  <si>
    <t xml:space="preserve">FISCAL 2014 YTD ADMISSIONS, PATRONS AND AGR SUMMARY </t>
  </si>
  <si>
    <t>** Harrah's MH was purchased by Penn and rebranded as Hollywood Casino 11/2/12.</t>
  </si>
  <si>
    <t>ST. JO FRONTIER</t>
  </si>
  <si>
    <t xml:space="preserve">   HOLLYWOOD **</t>
  </si>
  <si>
    <t xml:space="preserve"> Harrah's MH was purchased by Penn and rebranded as Hollywood Casino 11/2/12.</t>
  </si>
  <si>
    <t xml:space="preserve">ST. JO FRONTIER </t>
  </si>
  <si>
    <t>HARRAHS MH/HOLLYWOOD **</t>
  </si>
  <si>
    <t>*** Lumiere Place was purchased by Tropicana 4/1/14</t>
  </si>
  <si>
    <t>LUMIERE PLACE ***</t>
  </si>
  <si>
    <t>Lumiere Place was purchased by Tropicana 4/1/14</t>
  </si>
  <si>
    <t>MONTH ENDED:   JUNE 30, 2014</t>
  </si>
  <si>
    <t>(as reported on the tax remittal database dtd 7/9/14)</t>
  </si>
  <si>
    <t>FOR THE MONTH ENDED:   JUNE 30, 2014</t>
  </si>
  <si>
    <t>THRU MONTH ENDED:   JUNE 30, 2014</t>
  </si>
  <si>
    <t>(as reported on the tax remittal database as of 7/9/14)</t>
  </si>
  <si>
    <t>THRU MONTH ENDED:     JUNE 30,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</si>
</sst>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3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3" xfId="0" applyNumberFormat="1" applyFont="1" applyBorder="1" applyAlignment="1">
      <alignment/>
    </xf>
    <xf numFmtId="4" fontId="0" fillId="0" borderId="0" xfId="55" applyNumberFormat="1" applyFont="1" applyBorder="1" applyAlignment="1">
      <alignment horizontal="center"/>
      <protection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3" fontId="0" fillId="0" borderId="14" xfId="54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1"/>
  <sheetViews>
    <sheetView tabSelected="1" showOutlineSymbols="0" zoomScalePageLayoutView="0" workbookViewId="0" topLeftCell="A1">
      <selection activeCell="A3" sqref="A3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81" t="s">
        <v>78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82" t="s">
        <v>79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DATE(2013,7,1)</f>
        <v>41456</v>
      </c>
      <c r="C9" s="21">
        <v>319716</v>
      </c>
      <c r="D9" s="22">
        <v>338988</v>
      </c>
      <c r="E9" s="23">
        <f aca="true" t="shared" si="0" ref="E9:E20">(+C9-D9)/D9</f>
        <v>-0.05685156996707848</v>
      </c>
      <c r="F9" s="21">
        <f>+C9-157523</f>
        <v>162193</v>
      </c>
      <c r="G9" s="21">
        <f>+D9-174588</f>
        <v>164400</v>
      </c>
      <c r="H9" s="23">
        <f aca="true" t="shared" si="1" ref="H9:H20">(+F9-G9)/G9</f>
        <v>-0.013424574209245742</v>
      </c>
      <c r="I9" s="24">
        <f aca="true" t="shared" si="2" ref="I9:I20">K9/C9</f>
        <v>39.26101427516921</v>
      </c>
      <c r="J9" s="24">
        <f aca="true" t="shared" si="3" ref="J9:J20">K9/F9</f>
        <v>77.39159174563636</v>
      </c>
      <c r="K9" s="21">
        <v>12552374.44</v>
      </c>
      <c r="L9" s="21">
        <v>12683870.45</v>
      </c>
      <c r="M9" s="25">
        <f aca="true" t="shared" si="4" ref="M9:M20">(+K9-L9)/L9</f>
        <v>-0.01036718330720571</v>
      </c>
      <c r="N9" s="10"/>
      <c r="R9" s="2"/>
    </row>
    <row r="10" spans="1:18" ht="15.75">
      <c r="A10" s="19"/>
      <c r="B10" s="20">
        <f>DATE(2013,8,1)</f>
        <v>41487</v>
      </c>
      <c r="C10" s="21">
        <v>316432</v>
      </c>
      <c r="D10" s="22">
        <v>343379</v>
      </c>
      <c r="E10" s="23">
        <f t="shared" si="0"/>
        <v>-0.07847596970111742</v>
      </c>
      <c r="F10" s="21">
        <f>+C10-153574</f>
        <v>162858</v>
      </c>
      <c r="G10" s="21">
        <f>+D10-179004</f>
        <v>164375</v>
      </c>
      <c r="H10" s="23">
        <f t="shared" si="1"/>
        <v>-0.009228897338403041</v>
      </c>
      <c r="I10" s="24">
        <f t="shared" si="2"/>
        <v>39.88611591115943</v>
      </c>
      <c r="J10" s="24">
        <f t="shared" si="3"/>
        <v>77.49845528005993</v>
      </c>
      <c r="K10" s="21">
        <v>12621243.43</v>
      </c>
      <c r="L10" s="21">
        <v>12865659.28</v>
      </c>
      <c r="M10" s="25">
        <f t="shared" si="4"/>
        <v>-0.01899753791707747</v>
      </c>
      <c r="N10" s="10"/>
      <c r="R10" s="2"/>
    </row>
    <row r="11" spans="1:18" ht="15.75">
      <c r="A11" s="19"/>
      <c r="B11" s="20">
        <f>DATE(2013,9,1)</f>
        <v>41518</v>
      </c>
      <c r="C11" s="21">
        <v>282340</v>
      </c>
      <c r="D11" s="22">
        <v>332134</v>
      </c>
      <c r="E11" s="23">
        <f t="shared" si="0"/>
        <v>-0.14992141725929894</v>
      </c>
      <c r="F11" s="21">
        <f>C11-139729</f>
        <v>142611</v>
      </c>
      <c r="G11" s="21">
        <f>D11-170308</f>
        <v>161826</v>
      </c>
      <c r="H11" s="23">
        <f t="shared" si="1"/>
        <v>-0.11873864521152348</v>
      </c>
      <c r="I11" s="24">
        <f t="shared" si="2"/>
        <v>40.14087019196713</v>
      </c>
      <c r="J11" s="24">
        <f t="shared" si="3"/>
        <v>79.47054077174973</v>
      </c>
      <c r="K11" s="21">
        <v>11333373.29</v>
      </c>
      <c r="L11" s="21">
        <v>12696690.11</v>
      </c>
      <c r="M11" s="25">
        <f t="shared" si="4"/>
        <v>-0.1073757655096459</v>
      </c>
      <c r="N11" s="10"/>
      <c r="R11" s="2"/>
    </row>
    <row r="12" spans="1:18" ht="15.75">
      <c r="A12" s="19"/>
      <c r="B12" s="20">
        <f>DATE(2013,10,1)</f>
        <v>41548</v>
      </c>
      <c r="C12" s="21">
        <v>268334</v>
      </c>
      <c r="D12" s="22">
        <v>328078</v>
      </c>
      <c r="E12" s="23">
        <f t="shared" si="0"/>
        <v>-0.18210303647303386</v>
      </c>
      <c r="F12" s="21">
        <f>C12-130186</f>
        <v>138148</v>
      </c>
      <c r="G12" s="21">
        <f>D12-172329</f>
        <v>155749</v>
      </c>
      <c r="H12" s="23">
        <f t="shared" si="1"/>
        <v>-0.11300875126004019</v>
      </c>
      <c r="I12" s="24">
        <f t="shared" si="2"/>
        <v>41.4701356145699</v>
      </c>
      <c r="J12" s="24">
        <f t="shared" si="3"/>
        <v>80.55018798679676</v>
      </c>
      <c r="K12" s="21">
        <v>11127847.37</v>
      </c>
      <c r="L12" s="21">
        <v>12197955.87</v>
      </c>
      <c r="M12" s="25">
        <f t="shared" si="4"/>
        <v>-0.08772851053116656</v>
      </c>
      <c r="N12" s="10"/>
      <c r="R12" s="2"/>
    </row>
    <row r="13" spans="1:18" ht="15.75">
      <c r="A13" s="19"/>
      <c r="B13" s="20">
        <f>DATE(2013,11,1)</f>
        <v>41579</v>
      </c>
      <c r="C13" s="21">
        <v>267883</v>
      </c>
      <c r="D13" s="22">
        <v>321761</v>
      </c>
      <c r="E13" s="23">
        <f t="shared" si="0"/>
        <v>-0.16744726676011076</v>
      </c>
      <c r="F13" s="21">
        <f>+C13-131464</f>
        <v>136419</v>
      </c>
      <c r="G13" s="21">
        <f>+D13-166804</f>
        <v>154957</v>
      </c>
      <c r="H13" s="23">
        <f t="shared" si="1"/>
        <v>-0.11963318856198817</v>
      </c>
      <c r="I13" s="24">
        <f t="shared" si="2"/>
        <v>43.67917060806397</v>
      </c>
      <c r="J13" s="24">
        <f t="shared" si="3"/>
        <v>85.7718298770699</v>
      </c>
      <c r="K13" s="21">
        <v>11700907.26</v>
      </c>
      <c r="L13" s="21">
        <v>12058698.33</v>
      </c>
      <c r="M13" s="25">
        <f t="shared" si="4"/>
        <v>-0.029670787029299563</v>
      </c>
      <c r="N13" s="10"/>
      <c r="R13" s="2"/>
    </row>
    <row r="14" spans="1:18" ht="15.75">
      <c r="A14" s="19"/>
      <c r="B14" s="20">
        <f>DATE(2013,12,1)</f>
        <v>41609</v>
      </c>
      <c r="C14" s="21">
        <v>255863</v>
      </c>
      <c r="D14" s="22">
        <v>338330</v>
      </c>
      <c r="E14" s="23">
        <f t="shared" si="0"/>
        <v>-0.2437472290367393</v>
      </c>
      <c r="F14" s="21">
        <f>+C14-125410</f>
        <v>130453</v>
      </c>
      <c r="G14" s="21">
        <f>+D14-177692</f>
        <v>160638</v>
      </c>
      <c r="H14" s="23">
        <f t="shared" si="1"/>
        <v>-0.18790697095332362</v>
      </c>
      <c r="I14" s="24">
        <f t="shared" si="2"/>
        <v>43.39232018697506</v>
      </c>
      <c r="J14" s="24">
        <f t="shared" si="3"/>
        <v>85.1071973814324</v>
      </c>
      <c r="K14" s="21">
        <v>11102489.22</v>
      </c>
      <c r="L14" s="21">
        <v>12779597.75</v>
      </c>
      <c r="M14" s="25">
        <f t="shared" si="4"/>
        <v>-0.13123328001462325</v>
      </c>
      <c r="N14" s="10"/>
      <c r="R14" s="2"/>
    </row>
    <row r="15" spans="1:18" ht="15.75">
      <c r="A15" s="19"/>
      <c r="B15" s="20">
        <f>DATE(2014,1,1)</f>
        <v>41640</v>
      </c>
      <c r="C15" s="21">
        <v>265052</v>
      </c>
      <c r="D15" s="22">
        <v>326103</v>
      </c>
      <c r="E15" s="23">
        <f t="shared" si="0"/>
        <v>-0.18721385574496402</v>
      </c>
      <c r="F15" s="21">
        <f>+C15-130987</f>
        <v>134065</v>
      </c>
      <c r="G15" s="21">
        <f>+D15-171123</f>
        <v>154980</v>
      </c>
      <c r="H15" s="23">
        <f t="shared" si="1"/>
        <v>-0.1349528971480191</v>
      </c>
      <c r="I15" s="24">
        <f t="shared" si="2"/>
        <v>42.65667593528817</v>
      </c>
      <c r="J15" s="24">
        <f t="shared" si="3"/>
        <v>84.33399671800991</v>
      </c>
      <c r="K15" s="21">
        <v>11306237.27</v>
      </c>
      <c r="L15" s="21">
        <v>12279525.02</v>
      </c>
      <c r="M15" s="25">
        <f t="shared" si="4"/>
        <v>-0.07926102584707304</v>
      </c>
      <c r="N15" s="10"/>
      <c r="R15" s="2"/>
    </row>
    <row r="16" spans="1:18" ht="15.75">
      <c r="A16" s="19"/>
      <c r="B16" s="20">
        <f>DATE(2014,2,1)</f>
        <v>41671</v>
      </c>
      <c r="C16" s="21">
        <v>277541</v>
      </c>
      <c r="D16" s="22">
        <v>309944</v>
      </c>
      <c r="E16" s="23">
        <f t="shared" si="0"/>
        <v>-0.10454469194435123</v>
      </c>
      <c r="F16" s="21">
        <f>+C16-137668</f>
        <v>139873</v>
      </c>
      <c r="G16" s="21">
        <f>+D16-160235</f>
        <v>149709</v>
      </c>
      <c r="H16" s="23">
        <f t="shared" si="1"/>
        <v>-0.06570079287150406</v>
      </c>
      <c r="I16" s="24">
        <f t="shared" si="2"/>
        <v>42.90290875942653</v>
      </c>
      <c r="J16" s="24">
        <f t="shared" si="3"/>
        <v>85.12948317402214</v>
      </c>
      <c r="K16" s="21">
        <v>11907316.2</v>
      </c>
      <c r="L16" s="21">
        <v>12481063.89</v>
      </c>
      <c r="M16" s="25">
        <f t="shared" si="4"/>
        <v>-0.04596945381072008</v>
      </c>
      <c r="N16" s="10"/>
      <c r="R16" s="2"/>
    </row>
    <row r="17" spans="1:18" ht="15.75">
      <c r="A17" s="19"/>
      <c r="B17" s="20">
        <f>DATE(2014,3,1)</f>
        <v>41699</v>
      </c>
      <c r="C17" s="21">
        <v>300087</v>
      </c>
      <c r="D17" s="22">
        <v>350213</v>
      </c>
      <c r="E17" s="23">
        <f t="shared" si="0"/>
        <v>-0.1431300380054424</v>
      </c>
      <c r="F17" s="21">
        <f>+C17-149325</f>
        <v>150762</v>
      </c>
      <c r="G17" s="21">
        <f>+D17-178302</f>
        <v>171911</v>
      </c>
      <c r="H17" s="23">
        <f t="shared" si="1"/>
        <v>-0.12302295955465328</v>
      </c>
      <c r="I17" s="24">
        <f t="shared" si="2"/>
        <v>43.68643613352128</v>
      </c>
      <c r="J17" s="24">
        <f t="shared" si="3"/>
        <v>86.95647152465476</v>
      </c>
      <c r="K17" s="21">
        <v>13109731.56</v>
      </c>
      <c r="L17" s="21">
        <v>14547631.58</v>
      </c>
      <c r="M17" s="25">
        <f t="shared" si="4"/>
        <v>-0.09884083275636539</v>
      </c>
      <c r="N17" s="10"/>
      <c r="R17" s="2"/>
    </row>
    <row r="18" spans="1:18" ht="15.75">
      <c r="A18" s="19"/>
      <c r="B18" s="20">
        <f>DATE(2014,4,1)</f>
        <v>41730</v>
      </c>
      <c r="C18" s="21">
        <v>273950</v>
      </c>
      <c r="D18" s="22">
        <v>309819</v>
      </c>
      <c r="E18" s="23">
        <f t="shared" si="0"/>
        <v>-0.11577404871876805</v>
      </c>
      <c r="F18" s="21">
        <f>+C18-133894</f>
        <v>140056</v>
      </c>
      <c r="G18" s="21">
        <f>+D18-153057</f>
        <v>156762</v>
      </c>
      <c r="H18" s="23">
        <f t="shared" si="1"/>
        <v>-0.10656919406488817</v>
      </c>
      <c r="I18" s="24">
        <f t="shared" si="2"/>
        <v>44.368297791567805</v>
      </c>
      <c r="J18" s="24">
        <f t="shared" si="3"/>
        <v>86.784537470726</v>
      </c>
      <c r="K18" s="21">
        <v>12154695.18</v>
      </c>
      <c r="L18" s="21">
        <v>12822862.37</v>
      </c>
      <c r="M18" s="25">
        <f t="shared" si="4"/>
        <v>-0.05210749134789314</v>
      </c>
      <c r="N18" s="10"/>
      <c r="R18" s="2"/>
    </row>
    <row r="19" spans="1:18" ht="15.75">
      <c r="A19" s="19"/>
      <c r="B19" s="20">
        <f>DATE(2014,5,1)</f>
        <v>41760</v>
      </c>
      <c r="C19" s="21">
        <v>292620</v>
      </c>
      <c r="D19" s="22">
        <v>322617</v>
      </c>
      <c r="E19" s="23">
        <f t="shared" si="0"/>
        <v>-0.09298022112907875</v>
      </c>
      <c r="F19" s="21">
        <f>+C19-141198</f>
        <v>151422</v>
      </c>
      <c r="G19" s="21">
        <f>+D19-159139</f>
        <v>163478</v>
      </c>
      <c r="H19" s="23">
        <f t="shared" si="1"/>
        <v>-0.0737469261919035</v>
      </c>
      <c r="I19" s="24">
        <f t="shared" si="2"/>
        <v>44.17162319732076</v>
      </c>
      <c r="J19" s="24">
        <f t="shared" si="3"/>
        <v>85.36078231696848</v>
      </c>
      <c r="K19" s="21">
        <v>12925500.38</v>
      </c>
      <c r="L19" s="21">
        <v>13093065.52</v>
      </c>
      <c r="M19" s="25">
        <f t="shared" si="4"/>
        <v>-0.012798006681020468</v>
      </c>
      <c r="N19" s="10"/>
      <c r="R19" s="2"/>
    </row>
    <row r="20" spans="1:18" ht="15.75">
      <c r="A20" s="19"/>
      <c r="B20" s="20">
        <f>DATE(2014,6,1)</f>
        <v>41791</v>
      </c>
      <c r="C20" s="21">
        <v>260433</v>
      </c>
      <c r="D20" s="22">
        <v>312414</v>
      </c>
      <c r="E20" s="23">
        <f t="shared" si="0"/>
        <v>-0.1663849891490138</v>
      </c>
      <c r="F20" s="21">
        <f>+C20-124480</f>
        <v>135953</v>
      </c>
      <c r="G20" s="21">
        <f>+D20-153747</f>
        <v>158667</v>
      </c>
      <c r="H20" s="23">
        <f t="shared" si="1"/>
        <v>-0.14315516143873647</v>
      </c>
      <c r="I20" s="24">
        <f t="shared" si="2"/>
        <v>42.607403900427364</v>
      </c>
      <c r="J20" s="24">
        <f t="shared" si="3"/>
        <v>81.61919207373136</v>
      </c>
      <c r="K20" s="21">
        <v>11096374.02</v>
      </c>
      <c r="L20" s="21">
        <v>12338061.6</v>
      </c>
      <c r="M20" s="25">
        <f t="shared" si="4"/>
        <v>-0.10063878915955486</v>
      </c>
      <c r="N20" s="10"/>
      <c r="R20" s="2"/>
    </row>
    <row r="21" spans="1:18" ht="15.75" customHeight="1" thickBot="1">
      <c r="A21" s="19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7.25" thickBot="1" thickTop="1">
      <c r="A22" s="26" t="s">
        <v>14</v>
      </c>
      <c r="B22" s="27"/>
      <c r="C22" s="28">
        <f>SUM(C9:C21)</f>
        <v>3380251</v>
      </c>
      <c r="D22" s="28">
        <f>SUM(D9:D21)</f>
        <v>3933780</v>
      </c>
      <c r="E22" s="285">
        <f>(+C22-D22)/D22</f>
        <v>-0.14071173273543514</v>
      </c>
      <c r="F22" s="28">
        <f>SUM(F9:F21)</f>
        <v>1724813</v>
      </c>
      <c r="G22" s="28">
        <f>SUM(G9:G21)</f>
        <v>1917452</v>
      </c>
      <c r="H22" s="30">
        <f>(+F22-G22)/G22</f>
        <v>-0.10046613943921412</v>
      </c>
      <c r="I22" s="31">
        <f>K22/C22</f>
        <v>42.28623543636257</v>
      </c>
      <c r="J22" s="31">
        <f>K22/F22</f>
        <v>82.87164441594538</v>
      </c>
      <c r="K22" s="28">
        <f>SUM(K9:K21)</f>
        <v>142938089.62</v>
      </c>
      <c r="L22" s="28">
        <f>SUM(L9:L21)</f>
        <v>152844681.76999998</v>
      </c>
      <c r="M22" s="32">
        <f>(+K22-L22)/L22</f>
        <v>-0.06481476512808848</v>
      </c>
      <c r="N22" s="10"/>
      <c r="R22" s="2"/>
    </row>
    <row r="23" spans="1:18" ht="15.75" customHeight="1" thickTop="1">
      <c r="A23" s="15"/>
      <c r="B23" s="16"/>
      <c r="C23" s="16"/>
      <c r="D23" s="16"/>
      <c r="E23" s="17"/>
      <c r="F23" s="16"/>
      <c r="G23" s="16"/>
      <c r="H23" s="17"/>
      <c r="I23" s="16"/>
      <c r="J23" s="16"/>
      <c r="K23" s="195"/>
      <c r="L23" s="195"/>
      <c r="M23" s="18"/>
      <c r="N23" s="10"/>
      <c r="R23" s="2"/>
    </row>
    <row r="24" spans="1:18" ht="15.75">
      <c r="A24" s="19" t="s">
        <v>15</v>
      </c>
      <c r="B24" s="20">
        <f>DATE(2013,7,1)</f>
        <v>41456</v>
      </c>
      <c r="C24" s="21">
        <v>167462</v>
      </c>
      <c r="D24" s="21">
        <v>205569</v>
      </c>
      <c r="E24" s="23">
        <f aca="true" t="shared" si="5" ref="E24:E35">(+C24-D24)/D24</f>
        <v>-0.18537328099081088</v>
      </c>
      <c r="F24" s="21">
        <f>+C24-80491</f>
        <v>86971</v>
      </c>
      <c r="G24" s="21">
        <f>+D24-99777</f>
        <v>105792</v>
      </c>
      <c r="H24" s="23">
        <f aca="true" t="shared" si="6" ref="H24:H35">(+F24-G24)/G24</f>
        <v>-0.17790570175438597</v>
      </c>
      <c r="I24" s="24">
        <f aca="true" t="shared" si="7" ref="I24:I35">K24/C24</f>
        <v>38.59687744085225</v>
      </c>
      <c r="J24" s="24">
        <f aca="true" t="shared" si="8" ref="J24:J35">K24/F24</f>
        <v>74.31799438893424</v>
      </c>
      <c r="K24" s="21">
        <v>6463510.29</v>
      </c>
      <c r="L24" s="21">
        <v>7427087.39</v>
      </c>
      <c r="M24" s="25">
        <f aca="true" t="shared" si="9" ref="M24:M35">(+K24-L24)/L24</f>
        <v>-0.1297382203011886</v>
      </c>
      <c r="N24" s="10"/>
      <c r="R24" s="2"/>
    </row>
    <row r="25" spans="1:18" ht="15.75">
      <c r="A25" s="19"/>
      <c r="B25" s="20">
        <f>DATE(2013,8,1)</f>
        <v>41487</v>
      </c>
      <c r="C25" s="21">
        <v>180814</v>
      </c>
      <c r="D25" s="21">
        <v>196385</v>
      </c>
      <c r="E25" s="23">
        <f t="shared" si="5"/>
        <v>-0.07928813300404818</v>
      </c>
      <c r="F25" s="21">
        <f>+C25-88497</f>
        <v>92317</v>
      </c>
      <c r="G25" s="21">
        <f>+D25-96702</f>
        <v>99683</v>
      </c>
      <c r="H25" s="23">
        <f t="shared" si="6"/>
        <v>-0.07389424475587612</v>
      </c>
      <c r="I25" s="24">
        <f t="shared" si="7"/>
        <v>39.807706151072374</v>
      </c>
      <c r="J25" s="24">
        <f t="shared" si="8"/>
        <v>77.96820282288202</v>
      </c>
      <c r="K25" s="21">
        <v>7197790.58</v>
      </c>
      <c r="L25" s="21">
        <v>7366328.8</v>
      </c>
      <c r="M25" s="25">
        <f t="shared" si="9"/>
        <v>-0.022879540755769652</v>
      </c>
      <c r="N25" s="10"/>
      <c r="R25" s="2"/>
    </row>
    <row r="26" spans="1:18" ht="15.75">
      <c r="A26" s="19"/>
      <c r="B26" s="20">
        <f>DATE(2013,9,1)</f>
        <v>41518</v>
      </c>
      <c r="C26" s="21">
        <v>166343</v>
      </c>
      <c r="D26" s="21">
        <v>186040</v>
      </c>
      <c r="E26" s="23">
        <f t="shared" si="5"/>
        <v>-0.10587508062782197</v>
      </c>
      <c r="F26" s="21">
        <f>C26-79764</f>
        <v>86579</v>
      </c>
      <c r="G26" s="21">
        <f>D26-92289</f>
        <v>93751</v>
      </c>
      <c r="H26" s="23">
        <f t="shared" si="6"/>
        <v>-0.07650051732781517</v>
      </c>
      <c r="I26" s="24">
        <f t="shared" si="7"/>
        <v>40.297414018023005</v>
      </c>
      <c r="J26" s="24">
        <f t="shared" si="8"/>
        <v>77.42284780373994</v>
      </c>
      <c r="K26" s="21">
        <v>6703192.74</v>
      </c>
      <c r="L26" s="21">
        <v>6993206.55</v>
      </c>
      <c r="M26" s="25">
        <f t="shared" si="9"/>
        <v>-0.04147079139254075</v>
      </c>
      <c r="N26" s="10"/>
      <c r="R26" s="2"/>
    </row>
    <row r="27" spans="1:18" ht="15.75">
      <c r="A27" s="19"/>
      <c r="B27" s="20">
        <f>DATE(2013,10,1)</f>
        <v>41548</v>
      </c>
      <c r="C27" s="21">
        <v>153875</v>
      </c>
      <c r="D27" s="21">
        <v>169773</v>
      </c>
      <c r="E27" s="23">
        <f t="shared" si="5"/>
        <v>-0.09364268758872141</v>
      </c>
      <c r="F27" s="21">
        <f>+C27-73934</f>
        <v>79941</v>
      </c>
      <c r="G27" s="21">
        <f>D27-83037</f>
        <v>86736</v>
      </c>
      <c r="H27" s="23">
        <f t="shared" si="6"/>
        <v>-0.07834117321527394</v>
      </c>
      <c r="I27" s="24">
        <f t="shared" si="7"/>
        <v>40.05493523964257</v>
      </c>
      <c r="J27" s="24">
        <f t="shared" si="8"/>
        <v>77.10002576900465</v>
      </c>
      <c r="K27" s="21">
        <v>6163453.16</v>
      </c>
      <c r="L27" s="21">
        <v>6603926.78</v>
      </c>
      <c r="M27" s="25">
        <f t="shared" si="9"/>
        <v>-0.06669874374349137</v>
      </c>
      <c r="N27" s="10"/>
      <c r="R27" s="2"/>
    </row>
    <row r="28" spans="1:18" ht="15.75">
      <c r="A28" s="19"/>
      <c r="B28" s="20">
        <f>DATE(2013,11,1)</f>
        <v>41579</v>
      </c>
      <c r="C28" s="21">
        <v>157990</v>
      </c>
      <c r="D28" s="21">
        <v>166841</v>
      </c>
      <c r="E28" s="23">
        <f t="shared" si="5"/>
        <v>-0.053050509167410886</v>
      </c>
      <c r="F28" s="21">
        <f>+C28-76341</f>
        <v>81649</v>
      </c>
      <c r="G28" s="21">
        <f>+D28-82575</f>
        <v>84266</v>
      </c>
      <c r="H28" s="23">
        <f t="shared" si="6"/>
        <v>-0.031056416585574252</v>
      </c>
      <c r="I28" s="24">
        <f t="shared" si="7"/>
        <v>42.20074764225584</v>
      </c>
      <c r="J28" s="24">
        <f t="shared" si="8"/>
        <v>81.65802545040356</v>
      </c>
      <c r="K28" s="21">
        <v>6667296.12</v>
      </c>
      <c r="L28" s="21">
        <v>6453693.23</v>
      </c>
      <c r="M28" s="25">
        <f t="shared" si="9"/>
        <v>0.03309777555076005</v>
      </c>
      <c r="N28" s="10"/>
      <c r="R28" s="2"/>
    </row>
    <row r="29" spans="1:18" ht="15.75">
      <c r="A29" s="19"/>
      <c r="B29" s="20">
        <f>DATE(2013,12,1)</f>
        <v>41609</v>
      </c>
      <c r="C29" s="21">
        <v>142412</v>
      </c>
      <c r="D29" s="21">
        <v>163821</v>
      </c>
      <c r="E29" s="23">
        <f t="shared" si="5"/>
        <v>-0.1306853211737201</v>
      </c>
      <c r="F29" s="21">
        <f>+C29-70586</f>
        <v>71826</v>
      </c>
      <c r="G29" s="21">
        <f>+D29-82768</f>
        <v>81053</v>
      </c>
      <c r="H29" s="23">
        <f t="shared" si="6"/>
        <v>-0.11383909293918794</v>
      </c>
      <c r="I29" s="24">
        <f t="shared" si="7"/>
        <v>42.02078244810831</v>
      </c>
      <c r="J29" s="24">
        <f t="shared" si="8"/>
        <v>83.31612048561801</v>
      </c>
      <c r="K29" s="21">
        <v>5984263.67</v>
      </c>
      <c r="L29" s="21">
        <v>6809229.74</v>
      </c>
      <c r="M29" s="25">
        <f t="shared" si="9"/>
        <v>-0.12115409547042251</v>
      </c>
      <c r="N29" s="10"/>
      <c r="R29" s="2"/>
    </row>
    <row r="30" spans="1:18" ht="15.75">
      <c r="A30" s="19"/>
      <c r="B30" s="20">
        <f>DATE(2014,1,1)</f>
        <v>41640</v>
      </c>
      <c r="C30" s="21">
        <v>139969</v>
      </c>
      <c r="D30" s="21">
        <v>160327</v>
      </c>
      <c r="E30" s="23">
        <f t="shared" si="5"/>
        <v>-0.12697798873552177</v>
      </c>
      <c r="F30" s="21">
        <f>+C30-68762</f>
        <v>71207</v>
      </c>
      <c r="G30" s="21">
        <f>+D30-79961</f>
        <v>80366</v>
      </c>
      <c r="H30" s="23">
        <f t="shared" si="6"/>
        <v>-0.11396610506930792</v>
      </c>
      <c r="I30" s="24">
        <f t="shared" si="7"/>
        <v>42.952188484593016</v>
      </c>
      <c r="J30" s="24">
        <f t="shared" si="8"/>
        <v>84.4295486398809</v>
      </c>
      <c r="K30" s="21">
        <v>6011974.87</v>
      </c>
      <c r="L30" s="21">
        <v>6232312.81</v>
      </c>
      <c r="M30" s="25">
        <f t="shared" si="9"/>
        <v>-0.03535412080832308</v>
      </c>
      <c r="N30" s="10"/>
      <c r="R30" s="2"/>
    </row>
    <row r="31" spans="1:18" ht="15.75">
      <c r="A31" s="19"/>
      <c r="B31" s="20">
        <f>DATE(2014,2,1)</f>
        <v>41671</v>
      </c>
      <c r="C31" s="21">
        <v>152332</v>
      </c>
      <c r="D31" s="21">
        <v>160346</v>
      </c>
      <c r="E31" s="23">
        <f t="shared" si="5"/>
        <v>-0.04997941950531975</v>
      </c>
      <c r="F31" s="21">
        <f>+C31-74516</f>
        <v>77816</v>
      </c>
      <c r="G31" s="21">
        <f>+D31-80280</f>
        <v>80066</v>
      </c>
      <c r="H31" s="23">
        <f t="shared" si="6"/>
        <v>-0.028101816001798518</v>
      </c>
      <c r="I31" s="24">
        <f t="shared" si="7"/>
        <v>42.97222664968621</v>
      </c>
      <c r="J31" s="24">
        <f t="shared" si="8"/>
        <v>84.12209866865426</v>
      </c>
      <c r="K31" s="21">
        <v>6546045.23</v>
      </c>
      <c r="L31" s="21">
        <v>6394710.22</v>
      </c>
      <c r="M31" s="25">
        <f t="shared" si="9"/>
        <v>0.02366565564248519</v>
      </c>
      <c r="N31" s="10"/>
      <c r="R31" s="2"/>
    </row>
    <row r="32" spans="1:18" ht="15.75">
      <c r="A32" s="19"/>
      <c r="B32" s="20">
        <f>DATE(2014,3,1)</f>
        <v>41699</v>
      </c>
      <c r="C32" s="21">
        <v>169699</v>
      </c>
      <c r="D32" s="21">
        <v>188868</v>
      </c>
      <c r="E32" s="23">
        <f t="shared" si="5"/>
        <v>-0.10149416523709681</v>
      </c>
      <c r="F32" s="21">
        <f>+C32-82766</f>
        <v>86933</v>
      </c>
      <c r="G32" s="21">
        <f>+D32-94973</f>
        <v>93895</v>
      </c>
      <c r="H32" s="23">
        <f t="shared" si="6"/>
        <v>-0.07414665317642047</v>
      </c>
      <c r="I32" s="24">
        <f t="shared" si="7"/>
        <v>39.243028597693566</v>
      </c>
      <c r="J32" s="24">
        <f t="shared" si="8"/>
        <v>76.60500281826234</v>
      </c>
      <c r="K32" s="21">
        <v>6659502.71</v>
      </c>
      <c r="L32" s="21">
        <v>7605131.18</v>
      </c>
      <c r="M32" s="25">
        <f t="shared" si="9"/>
        <v>-0.12434084930537645</v>
      </c>
      <c r="N32" s="10"/>
      <c r="R32" s="2"/>
    </row>
    <row r="33" spans="1:18" ht="15.75">
      <c r="A33" s="19"/>
      <c r="B33" s="20">
        <f>DATE(2014,4,1)</f>
        <v>41730</v>
      </c>
      <c r="C33" s="21">
        <v>151365</v>
      </c>
      <c r="D33" s="21">
        <v>167457</v>
      </c>
      <c r="E33" s="23">
        <f t="shared" si="5"/>
        <v>-0.09609631129185403</v>
      </c>
      <c r="F33" s="21">
        <f>+C33-72756</f>
        <v>78609</v>
      </c>
      <c r="G33" s="21">
        <f>+D33-81132</f>
        <v>86325</v>
      </c>
      <c r="H33" s="23">
        <f t="shared" si="6"/>
        <v>-0.08938314509122502</v>
      </c>
      <c r="I33" s="24">
        <f t="shared" si="7"/>
        <v>43.64042189409705</v>
      </c>
      <c r="J33" s="24">
        <f t="shared" si="8"/>
        <v>84.03150351740895</v>
      </c>
      <c r="K33" s="21">
        <v>6605632.46</v>
      </c>
      <c r="L33" s="21">
        <v>6740020.9</v>
      </c>
      <c r="M33" s="25">
        <f t="shared" si="9"/>
        <v>-0.0199388758571951</v>
      </c>
      <c r="N33" s="10"/>
      <c r="R33" s="2"/>
    </row>
    <row r="34" spans="1:18" ht="15.75">
      <c r="A34" s="19"/>
      <c r="B34" s="20">
        <f>DATE(2014,5,1)</f>
        <v>41760</v>
      </c>
      <c r="C34" s="21">
        <v>162703</v>
      </c>
      <c r="D34" s="21">
        <v>170588</v>
      </c>
      <c r="E34" s="23">
        <f t="shared" si="5"/>
        <v>-0.04622247754824489</v>
      </c>
      <c r="F34" s="21">
        <f>+C34-77866</f>
        <v>84837</v>
      </c>
      <c r="G34" s="21">
        <f>+D34-81970</f>
        <v>88618</v>
      </c>
      <c r="H34" s="23">
        <f t="shared" si="6"/>
        <v>-0.04266627547450857</v>
      </c>
      <c r="I34" s="24">
        <f t="shared" si="7"/>
        <v>40.41340577616885</v>
      </c>
      <c r="J34" s="24">
        <f t="shared" si="8"/>
        <v>77.50606881431452</v>
      </c>
      <c r="K34" s="21">
        <v>6575382.36</v>
      </c>
      <c r="L34" s="21">
        <v>6915132.22</v>
      </c>
      <c r="M34" s="25">
        <f t="shared" si="9"/>
        <v>-0.049131361366796744</v>
      </c>
      <c r="N34" s="10"/>
      <c r="R34" s="2"/>
    </row>
    <row r="35" spans="1:18" ht="15.75">
      <c r="A35" s="19"/>
      <c r="B35" s="20">
        <f>DATE(2014,6,1)</f>
        <v>41791</v>
      </c>
      <c r="C35" s="21">
        <v>152343</v>
      </c>
      <c r="D35" s="21">
        <v>169325</v>
      </c>
      <c r="E35" s="23">
        <f t="shared" si="5"/>
        <v>-0.10029233722131994</v>
      </c>
      <c r="F35" s="21">
        <f>+C35-72561</f>
        <v>79782</v>
      </c>
      <c r="G35" s="21">
        <f>+D35-80174</f>
        <v>89151</v>
      </c>
      <c r="H35" s="23">
        <f t="shared" si="6"/>
        <v>-0.10509136184675438</v>
      </c>
      <c r="I35" s="24">
        <f t="shared" si="7"/>
        <v>42.3202948609388</v>
      </c>
      <c r="J35" s="24">
        <f t="shared" si="8"/>
        <v>80.8102163395252</v>
      </c>
      <c r="K35" s="21">
        <v>6447200.68</v>
      </c>
      <c r="L35" s="21">
        <v>6574126.28</v>
      </c>
      <c r="M35" s="25">
        <f t="shared" si="9"/>
        <v>-0.019306839356910035</v>
      </c>
      <c r="N35" s="10"/>
      <c r="R35" s="2"/>
    </row>
    <row r="36" spans="1:18" ht="15.75" customHeight="1" thickBot="1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26" t="s">
        <v>14</v>
      </c>
      <c r="B37" s="27"/>
      <c r="C37" s="28">
        <f>SUM(C24:C36)</f>
        <v>1897307</v>
      </c>
      <c r="D37" s="28">
        <f>SUM(D24:D36)</f>
        <v>2105340</v>
      </c>
      <c r="E37" s="285">
        <f>(+C37-D37)/D37</f>
        <v>-0.09881206835950487</v>
      </c>
      <c r="F37" s="28">
        <f>SUM(F24:F36)</f>
        <v>978467</v>
      </c>
      <c r="G37" s="28">
        <f>SUM(G24:G36)</f>
        <v>1069702</v>
      </c>
      <c r="H37" s="30">
        <f>(+F37-G37)/G37</f>
        <v>-0.08529010883404911</v>
      </c>
      <c r="I37" s="31">
        <f>K37/C37</f>
        <v>41.124206504271584</v>
      </c>
      <c r="J37" s="31">
        <f>K37/F37</f>
        <v>79.74233660409601</v>
      </c>
      <c r="K37" s="28">
        <f>SUM(K24:K36)</f>
        <v>78025244.87</v>
      </c>
      <c r="L37" s="28">
        <f>SUM(L24:L36)</f>
        <v>82114906.10000001</v>
      </c>
      <c r="M37" s="32">
        <f>(+K37-L37)/L37</f>
        <v>-0.04980412721923582</v>
      </c>
      <c r="N37" s="10"/>
      <c r="R37" s="2"/>
    </row>
    <row r="38" spans="1:18" ht="15.75" customHeight="1" thickTop="1">
      <c r="A38" s="33"/>
      <c r="B38" s="34"/>
      <c r="C38" s="35"/>
      <c r="D38" s="35"/>
      <c r="E38" s="29"/>
      <c r="F38" s="35"/>
      <c r="G38" s="35"/>
      <c r="H38" s="29"/>
      <c r="I38" s="36"/>
      <c r="J38" s="36"/>
      <c r="K38" s="35"/>
      <c r="L38" s="35"/>
      <c r="M38" s="37"/>
      <c r="N38" s="10"/>
      <c r="R38" s="2"/>
    </row>
    <row r="39" spans="1:18" ht="15.75" customHeight="1">
      <c r="A39" s="19" t="s">
        <v>56</v>
      </c>
      <c r="B39" s="20">
        <f>DATE(2013,7,1)</f>
        <v>41456</v>
      </c>
      <c r="C39" s="21">
        <v>75211</v>
      </c>
      <c r="D39" s="21">
        <v>87611</v>
      </c>
      <c r="E39" s="23">
        <f aca="true" t="shared" si="10" ref="E39:E50">(+C39-D39)/D39</f>
        <v>-0.14153473878850828</v>
      </c>
      <c r="F39" s="21">
        <f>+C39-41471</f>
        <v>33740</v>
      </c>
      <c r="G39" s="21">
        <f>+D39-48596</f>
        <v>39015</v>
      </c>
      <c r="H39" s="23">
        <f aca="true" t="shared" si="11" ref="H39:H50">(+F39-G39)/G39</f>
        <v>-0.13520440856080995</v>
      </c>
      <c r="I39" s="24">
        <f aca="true" t="shared" si="12" ref="I39:I50">K39/C39</f>
        <v>37.20826980095997</v>
      </c>
      <c r="J39" s="24">
        <f aca="true" t="shared" si="13" ref="J39:J50">K39/F39</f>
        <v>82.94224007113219</v>
      </c>
      <c r="K39" s="21">
        <v>2798471.18</v>
      </c>
      <c r="L39" s="21">
        <v>3200976.92</v>
      </c>
      <c r="M39" s="25">
        <f aca="true" t="shared" si="14" ref="M39:M50">(+K39-L39)/L39</f>
        <v>-0.12574465547849054</v>
      </c>
      <c r="N39" s="10"/>
      <c r="R39" s="2"/>
    </row>
    <row r="40" spans="1:18" ht="15.75" customHeight="1">
      <c r="A40" s="19"/>
      <c r="B40" s="20">
        <f>DATE(2013,8,1)</f>
        <v>41487</v>
      </c>
      <c r="C40" s="21">
        <v>74130</v>
      </c>
      <c r="D40" s="21">
        <v>84148</v>
      </c>
      <c r="E40" s="23">
        <f t="shared" si="10"/>
        <v>-0.11905214621856729</v>
      </c>
      <c r="F40" s="21">
        <f>+C40-40749</f>
        <v>33381</v>
      </c>
      <c r="G40" s="21">
        <f>+D40-47637</f>
        <v>36511</v>
      </c>
      <c r="H40" s="23">
        <f t="shared" si="11"/>
        <v>-0.08572758894579716</v>
      </c>
      <c r="I40" s="24">
        <f t="shared" si="12"/>
        <v>37.19823580196952</v>
      </c>
      <c r="J40" s="24">
        <f t="shared" si="13"/>
        <v>82.60702854917469</v>
      </c>
      <c r="K40" s="21">
        <v>2757505.22</v>
      </c>
      <c r="L40" s="21">
        <v>3106163.72</v>
      </c>
      <c r="M40" s="25">
        <f t="shared" si="14"/>
        <v>-0.11224730292065867</v>
      </c>
      <c r="N40" s="10"/>
      <c r="R40" s="2"/>
    </row>
    <row r="41" spans="1:18" ht="15.75" customHeight="1">
      <c r="A41" s="19"/>
      <c r="B41" s="20">
        <f>DATE(2013,9,1)</f>
        <v>41518</v>
      </c>
      <c r="C41" s="21">
        <v>66326</v>
      </c>
      <c r="D41" s="21">
        <v>77545</v>
      </c>
      <c r="E41" s="23">
        <f t="shared" si="10"/>
        <v>-0.1446772841575859</v>
      </c>
      <c r="F41" s="21">
        <f>C41-36268</f>
        <v>30058</v>
      </c>
      <c r="G41" s="21">
        <f>D41-43775</f>
        <v>33770</v>
      </c>
      <c r="H41" s="23">
        <f t="shared" si="11"/>
        <v>-0.10992004737933077</v>
      </c>
      <c r="I41" s="24">
        <f t="shared" si="12"/>
        <v>38.092674215239875</v>
      </c>
      <c r="J41" s="24">
        <f t="shared" si="13"/>
        <v>84.05531672100605</v>
      </c>
      <c r="K41" s="21">
        <v>2526534.71</v>
      </c>
      <c r="L41" s="21">
        <v>2875971.93</v>
      </c>
      <c r="M41" s="25">
        <f t="shared" si="14"/>
        <v>-0.12150230548321109</v>
      </c>
      <c r="N41" s="10"/>
      <c r="R41" s="2"/>
    </row>
    <row r="42" spans="1:18" ht="15.75" customHeight="1">
      <c r="A42" s="19"/>
      <c r="B42" s="20">
        <f>DATE(2013,10,1)</f>
        <v>41548</v>
      </c>
      <c r="C42" s="21">
        <v>62704</v>
      </c>
      <c r="D42" s="21">
        <v>70090</v>
      </c>
      <c r="E42" s="23">
        <f t="shared" si="10"/>
        <v>-0.10537879868740191</v>
      </c>
      <c r="F42" s="21">
        <f>C42-35119</f>
        <v>27585</v>
      </c>
      <c r="G42" s="21">
        <f>D42-40061</f>
        <v>30029</v>
      </c>
      <c r="H42" s="23">
        <f t="shared" si="11"/>
        <v>-0.08138799160811216</v>
      </c>
      <c r="I42" s="24">
        <f t="shared" si="12"/>
        <v>37.12042038785404</v>
      </c>
      <c r="J42" s="24">
        <f t="shared" si="13"/>
        <v>84.37914953779227</v>
      </c>
      <c r="K42" s="21">
        <v>2327598.84</v>
      </c>
      <c r="L42" s="21">
        <v>2639011.62</v>
      </c>
      <c r="M42" s="25">
        <f t="shared" si="14"/>
        <v>-0.11800356528934126</v>
      </c>
      <c r="N42" s="10"/>
      <c r="R42" s="2"/>
    </row>
    <row r="43" spans="1:18" ht="15.75" customHeight="1">
      <c r="A43" s="19"/>
      <c r="B43" s="20">
        <f>DATE(2013,11,1)</f>
        <v>41579</v>
      </c>
      <c r="C43" s="21">
        <v>65148</v>
      </c>
      <c r="D43" s="21">
        <v>67669</v>
      </c>
      <c r="E43" s="23">
        <f t="shared" si="10"/>
        <v>-0.037254872984675405</v>
      </c>
      <c r="F43" s="21">
        <f>+C43-37452</f>
        <v>27696</v>
      </c>
      <c r="G43" s="21">
        <f>+D43-39222</f>
        <v>28447</v>
      </c>
      <c r="H43" s="23">
        <f t="shared" si="11"/>
        <v>-0.02639997187752663</v>
      </c>
      <c r="I43" s="24">
        <f t="shared" si="12"/>
        <v>37.22764029594155</v>
      </c>
      <c r="J43" s="24">
        <f t="shared" si="13"/>
        <v>87.56882979491624</v>
      </c>
      <c r="K43" s="21">
        <v>2425306.31</v>
      </c>
      <c r="L43" s="21">
        <v>2544466.67</v>
      </c>
      <c r="M43" s="25">
        <f t="shared" si="14"/>
        <v>-0.046831173465518364</v>
      </c>
      <c r="N43" s="10"/>
      <c r="R43" s="2"/>
    </row>
    <row r="44" spans="1:18" ht="15.75" customHeight="1">
      <c r="A44" s="19"/>
      <c r="B44" s="20">
        <f>DATE(2013,12,1)</f>
        <v>41609</v>
      </c>
      <c r="C44" s="21">
        <v>59030</v>
      </c>
      <c r="D44" s="21">
        <v>69888</v>
      </c>
      <c r="E44" s="23">
        <f t="shared" si="10"/>
        <v>-0.1553628663003663</v>
      </c>
      <c r="F44" s="21">
        <f>+C44-34857</f>
        <v>24173</v>
      </c>
      <c r="G44" s="21">
        <f>+D44-40353</f>
        <v>29535</v>
      </c>
      <c r="H44" s="23">
        <f t="shared" si="11"/>
        <v>-0.18154731674284746</v>
      </c>
      <c r="I44" s="24">
        <f t="shared" si="12"/>
        <v>39.84665949517195</v>
      </c>
      <c r="J44" s="24">
        <f t="shared" si="13"/>
        <v>97.30477433500187</v>
      </c>
      <c r="K44" s="21">
        <v>2352148.31</v>
      </c>
      <c r="L44" s="21">
        <v>2633790.57</v>
      </c>
      <c r="M44" s="25">
        <f t="shared" si="14"/>
        <v>-0.10693418953200967</v>
      </c>
      <c r="N44" s="10"/>
      <c r="R44" s="2"/>
    </row>
    <row r="45" spans="1:18" ht="15.75" customHeight="1">
      <c r="A45" s="19"/>
      <c r="B45" s="20">
        <f>DATE(2014,1,1)</f>
        <v>41640</v>
      </c>
      <c r="C45" s="21">
        <v>62722</v>
      </c>
      <c r="D45" s="21">
        <v>63341</v>
      </c>
      <c r="E45" s="23">
        <f t="shared" si="10"/>
        <v>-0.009772501223536099</v>
      </c>
      <c r="F45" s="21">
        <f>+C45-36963</f>
        <v>25759</v>
      </c>
      <c r="G45" s="21">
        <f>+D45-36724</f>
        <v>26617</v>
      </c>
      <c r="H45" s="23">
        <f t="shared" si="11"/>
        <v>-0.03223503775782395</v>
      </c>
      <c r="I45" s="24">
        <f t="shared" si="12"/>
        <v>38.576772105481325</v>
      </c>
      <c r="J45" s="24">
        <f t="shared" si="13"/>
        <v>93.93269536860902</v>
      </c>
      <c r="K45" s="21">
        <v>2419612.3</v>
      </c>
      <c r="L45" s="21">
        <v>2348996.44</v>
      </c>
      <c r="M45" s="25">
        <f t="shared" si="14"/>
        <v>0.03006214006863283</v>
      </c>
      <c r="N45" s="10"/>
      <c r="R45" s="2"/>
    </row>
    <row r="46" spans="1:18" ht="15.75" customHeight="1">
      <c r="A46" s="19"/>
      <c r="B46" s="20">
        <f>DATE(2014,2,1)</f>
        <v>41671</v>
      </c>
      <c r="C46" s="21">
        <v>69412</v>
      </c>
      <c r="D46" s="21">
        <v>72003</v>
      </c>
      <c r="E46" s="23">
        <f t="shared" si="10"/>
        <v>-0.0359846117522881</v>
      </c>
      <c r="F46" s="21">
        <f>+C46-41429</f>
        <v>27983</v>
      </c>
      <c r="G46" s="21">
        <f>+D46-41989</f>
        <v>30014</v>
      </c>
      <c r="H46" s="23">
        <f t="shared" si="11"/>
        <v>-0.0676684214033451</v>
      </c>
      <c r="I46" s="24">
        <f t="shared" si="12"/>
        <v>39.51668976545842</v>
      </c>
      <c r="J46" s="24">
        <f t="shared" si="13"/>
        <v>98.0213869134832</v>
      </c>
      <c r="K46" s="21">
        <v>2742932.47</v>
      </c>
      <c r="L46" s="21">
        <v>2803413.04</v>
      </c>
      <c r="M46" s="25">
        <f t="shared" si="14"/>
        <v>-0.021573906212550054</v>
      </c>
      <c r="N46" s="10"/>
      <c r="R46" s="2"/>
    </row>
    <row r="47" spans="1:18" ht="15.75" customHeight="1">
      <c r="A47" s="19"/>
      <c r="B47" s="20">
        <f>DATE(2014,3,1)</f>
        <v>41699</v>
      </c>
      <c r="C47" s="21">
        <v>71189</v>
      </c>
      <c r="D47" s="21">
        <v>77747</v>
      </c>
      <c r="E47" s="23">
        <f t="shared" si="10"/>
        <v>-0.084350521563533</v>
      </c>
      <c r="F47" s="21">
        <f>+C47-42462</f>
        <v>28727</v>
      </c>
      <c r="G47" s="21">
        <f>+D47-44873</f>
        <v>32874</v>
      </c>
      <c r="H47" s="23">
        <f t="shared" si="11"/>
        <v>-0.1261483239033887</v>
      </c>
      <c r="I47" s="24">
        <f t="shared" si="12"/>
        <v>40.76727500035118</v>
      </c>
      <c r="J47" s="24">
        <f t="shared" si="13"/>
        <v>101.02626588227103</v>
      </c>
      <c r="K47" s="21">
        <v>2902181.54</v>
      </c>
      <c r="L47" s="21">
        <v>2966999.39</v>
      </c>
      <c r="M47" s="25">
        <f t="shared" si="14"/>
        <v>-0.02184626333880038</v>
      </c>
      <c r="N47" s="10"/>
      <c r="R47" s="2"/>
    </row>
    <row r="48" spans="1:18" ht="15.75" customHeight="1">
      <c r="A48" s="19"/>
      <c r="B48" s="20">
        <f>DATE(2014,4,1)</f>
        <v>41730</v>
      </c>
      <c r="C48" s="21">
        <v>67447</v>
      </c>
      <c r="D48" s="21">
        <v>74896</v>
      </c>
      <c r="E48" s="23">
        <f t="shared" si="10"/>
        <v>-0.0994579149754326</v>
      </c>
      <c r="F48" s="21">
        <f>+C48-37845</f>
        <v>29602</v>
      </c>
      <c r="G48" s="21">
        <f>+D48-41835</f>
        <v>33061</v>
      </c>
      <c r="H48" s="23">
        <f t="shared" si="11"/>
        <v>-0.1046247844892774</v>
      </c>
      <c r="I48" s="24">
        <f t="shared" si="12"/>
        <v>40.8216085222471</v>
      </c>
      <c r="J48" s="24">
        <f t="shared" si="13"/>
        <v>93.01043949733125</v>
      </c>
      <c r="K48" s="21">
        <v>2753295.03</v>
      </c>
      <c r="L48" s="21">
        <v>2724602.51</v>
      </c>
      <c r="M48" s="25">
        <f t="shared" si="14"/>
        <v>0.010530901257960017</v>
      </c>
      <c r="N48" s="10"/>
      <c r="R48" s="2"/>
    </row>
    <row r="49" spans="1:18" ht="15.75" customHeight="1">
      <c r="A49" s="19"/>
      <c r="B49" s="20">
        <f>DATE(2014,5,1)</f>
        <v>41760</v>
      </c>
      <c r="C49" s="21">
        <v>71401</v>
      </c>
      <c r="D49" s="21">
        <v>75207</v>
      </c>
      <c r="E49" s="23">
        <f t="shared" si="10"/>
        <v>-0.05060699137048413</v>
      </c>
      <c r="F49" s="21">
        <f>+C49-40490</f>
        <v>30911</v>
      </c>
      <c r="G49" s="21">
        <f>+D49-41201</f>
        <v>34006</v>
      </c>
      <c r="H49" s="23">
        <f t="shared" si="11"/>
        <v>-0.09101335058519085</v>
      </c>
      <c r="I49" s="24">
        <f t="shared" si="12"/>
        <v>38.254546014761694</v>
      </c>
      <c r="J49" s="24">
        <f t="shared" si="13"/>
        <v>88.36378117822134</v>
      </c>
      <c r="K49" s="21">
        <v>2731412.84</v>
      </c>
      <c r="L49" s="21">
        <v>2835826.34</v>
      </c>
      <c r="M49" s="25">
        <f t="shared" si="14"/>
        <v>-0.03681942667899756</v>
      </c>
      <c r="N49" s="10"/>
      <c r="R49" s="2"/>
    </row>
    <row r="50" spans="1:18" ht="15.75" customHeight="1">
      <c r="A50" s="19"/>
      <c r="B50" s="20">
        <f>DATE(2014,6,1)</f>
        <v>41791</v>
      </c>
      <c r="C50" s="21">
        <v>61961</v>
      </c>
      <c r="D50" s="21">
        <v>67551</v>
      </c>
      <c r="E50" s="23">
        <f t="shared" si="10"/>
        <v>-0.0827522908617193</v>
      </c>
      <c r="F50" s="21">
        <f>+C50-35155</f>
        <v>26806</v>
      </c>
      <c r="G50" s="21">
        <f>+D50-37491</f>
        <v>30060</v>
      </c>
      <c r="H50" s="23">
        <f t="shared" si="11"/>
        <v>-0.10825016633399867</v>
      </c>
      <c r="I50" s="24">
        <f t="shared" si="12"/>
        <v>38.726797178870584</v>
      </c>
      <c r="J50" s="24">
        <f t="shared" si="13"/>
        <v>89.51544728792062</v>
      </c>
      <c r="K50" s="21">
        <v>2399551.08</v>
      </c>
      <c r="L50" s="21">
        <v>2533086.23</v>
      </c>
      <c r="M50" s="25">
        <f t="shared" si="14"/>
        <v>-0.052716385418904554</v>
      </c>
      <c r="N50" s="10"/>
      <c r="R50" s="2"/>
    </row>
    <row r="51" spans="1:18" ht="15.75" customHeight="1" thickBot="1">
      <c r="A51" s="38"/>
      <c r="B51" s="20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customHeight="1" thickBot="1" thickTop="1">
      <c r="A52" s="39" t="s">
        <v>14</v>
      </c>
      <c r="B52" s="40"/>
      <c r="C52" s="41">
        <f>SUM(C39:C51)</f>
        <v>806681</v>
      </c>
      <c r="D52" s="41">
        <f>SUM(D39:D51)</f>
        <v>887696</v>
      </c>
      <c r="E52" s="286">
        <f>(+C52-D52)/D52</f>
        <v>-0.091264351760062</v>
      </c>
      <c r="F52" s="41">
        <f>SUM(F39:F51)</f>
        <v>346421</v>
      </c>
      <c r="G52" s="41">
        <f>SUM(G39:G51)</f>
        <v>383939</v>
      </c>
      <c r="H52" s="42">
        <f>(+F52-G52)/G52</f>
        <v>-0.09771864801439813</v>
      </c>
      <c r="I52" s="43">
        <f>K52/C52</f>
        <v>38.59834287655219</v>
      </c>
      <c r="J52" s="43">
        <f>K52/F52</f>
        <v>89.8806649423678</v>
      </c>
      <c r="K52" s="41">
        <f>SUM(K39:K51)</f>
        <v>31136549.83</v>
      </c>
      <c r="L52" s="41">
        <f>SUM(L39:L51)</f>
        <v>33213305.380000003</v>
      </c>
      <c r="M52" s="44">
        <f>(+K52-L52)/L52</f>
        <v>-0.06252781908453353</v>
      </c>
      <c r="N52" s="10"/>
      <c r="R52" s="2"/>
    </row>
    <row r="53" spans="1:18" ht="15.75" customHeight="1" thickTop="1">
      <c r="A53" s="38"/>
      <c r="B53" s="45"/>
      <c r="C53" s="21"/>
      <c r="D53" s="21"/>
      <c r="E53" s="23"/>
      <c r="F53" s="21"/>
      <c r="G53" s="21"/>
      <c r="H53" s="23"/>
      <c r="I53" s="24"/>
      <c r="J53" s="24"/>
      <c r="K53" s="21"/>
      <c r="L53" s="21"/>
      <c r="M53" s="25"/>
      <c r="N53" s="10"/>
      <c r="R53" s="2"/>
    </row>
    <row r="54" spans="1:18" ht="15.75" customHeight="1">
      <c r="A54" s="177" t="s">
        <v>66</v>
      </c>
      <c r="B54" s="20">
        <f>DATE(2013,7,1)</f>
        <v>41456</v>
      </c>
      <c r="C54" s="21">
        <v>527984</v>
      </c>
      <c r="D54" s="21">
        <v>582260</v>
      </c>
      <c r="E54" s="23">
        <f aca="true" t="shared" si="15" ref="E54:E65">(+C54-D54)/D54</f>
        <v>-0.09321608903239102</v>
      </c>
      <c r="F54" s="21">
        <f>+C54-281153</f>
        <v>246831</v>
      </c>
      <c r="G54" s="21">
        <f>+D54-308239</f>
        <v>274021</v>
      </c>
      <c r="H54" s="23">
        <f aca="true" t="shared" si="16" ref="H54:H65">(+F54-G54)/G54</f>
        <v>-0.09922597173209352</v>
      </c>
      <c r="I54" s="24">
        <f aca="true" t="shared" si="17" ref="I54:I65">K54/C54</f>
        <v>39.234616522470375</v>
      </c>
      <c r="J54" s="24">
        <f aca="true" t="shared" si="18" ref="J54:J65">K54/F54</f>
        <v>83.92483022796974</v>
      </c>
      <c r="K54" s="21">
        <v>20715249.77</v>
      </c>
      <c r="L54" s="21">
        <v>23373720.82</v>
      </c>
      <c r="M54" s="25">
        <f aca="true" t="shared" si="19" ref="M54:M65">(+K54-L54)/L54</f>
        <v>-0.11373760602656162</v>
      </c>
      <c r="N54" s="10"/>
      <c r="R54" s="2"/>
    </row>
    <row r="55" spans="1:18" ht="15.75" customHeight="1">
      <c r="A55" s="19" t="s">
        <v>71</v>
      </c>
      <c r="B55" s="20">
        <f>DATE(2013,8,1)</f>
        <v>41487</v>
      </c>
      <c r="C55" s="21">
        <v>496242</v>
      </c>
      <c r="D55" s="21">
        <v>528293</v>
      </c>
      <c r="E55" s="23">
        <f t="shared" si="15"/>
        <v>-0.06066898482470902</v>
      </c>
      <c r="F55" s="21">
        <f>+C55-262624</f>
        <v>233618</v>
      </c>
      <c r="G55" s="21">
        <f>+D55-282980</f>
        <v>245313</v>
      </c>
      <c r="H55" s="23">
        <f t="shared" si="16"/>
        <v>-0.0476737881808139</v>
      </c>
      <c r="I55" s="24">
        <f t="shared" si="17"/>
        <v>39.90943138629943</v>
      </c>
      <c r="J55" s="24">
        <f t="shared" si="18"/>
        <v>84.77401591486958</v>
      </c>
      <c r="K55" s="21">
        <v>19804736.05</v>
      </c>
      <c r="L55" s="21">
        <v>20346171</v>
      </c>
      <c r="M55" s="25">
        <f t="shared" si="19"/>
        <v>-0.02661114712935418</v>
      </c>
      <c r="N55" s="10"/>
      <c r="R55" s="2"/>
    </row>
    <row r="56" spans="1:18" ht="15.75" customHeight="1">
      <c r="A56" s="19"/>
      <c r="B56" s="20">
        <f>DATE(2013,9,1)</f>
        <v>41518</v>
      </c>
      <c r="C56" s="21">
        <v>463425</v>
      </c>
      <c r="D56" s="21">
        <v>517872</v>
      </c>
      <c r="E56" s="23">
        <f t="shared" si="15"/>
        <v>-0.10513601816665122</v>
      </c>
      <c r="F56" s="21">
        <f>+C56-254423</f>
        <v>209002</v>
      </c>
      <c r="G56" s="21">
        <f>D56-277087</f>
        <v>240785</v>
      </c>
      <c r="H56" s="23">
        <f t="shared" si="16"/>
        <v>-0.13199742508877213</v>
      </c>
      <c r="I56" s="24">
        <f t="shared" si="17"/>
        <v>39.73899854345363</v>
      </c>
      <c r="J56" s="24">
        <f t="shared" si="18"/>
        <v>88.11420656261662</v>
      </c>
      <c r="K56" s="21">
        <v>18416045.4</v>
      </c>
      <c r="L56" s="21">
        <v>21199576.31</v>
      </c>
      <c r="M56" s="25">
        <f t="shared" si="19"/>
        <v>-0.13130125193525627</v>
      </c>
      <c r="N56" s="10"/>
      <c r="R56" s="2"/>
    </row>
    <row r="57" spans="1:18" ht="15.75" customHeight="1">
      <c r="A57" s="19"/>
      <c r="B57" s="20">
        <f>DATE(2013,10,1)</f>
        <v>41548</v>
      </c>
      <c r="C57" s="21">
        <v>451270</v>
      </c>
      <c r="D57" s="21">
        <v>474025</v>
      </c>
      <c r="E57" s="23">
        <f t="shared" si="15"/>
        <v>-0.048003797268076576</v>
      </c>
      <c r="F57" s="21">
        <f>C57-250501</f>
        <v>200769</v>
      </c>
      <c r="G57" s="21">
        <f>D57-252224</f>
        <v>221801</v>
      </c>
      <c r="H57" s="23">
        <f t="shared" si="16"/>
        <v>-0.09482373839612987</v>
      </c>
      <c r="I57" s="24">
        <f t="shared" si="17"/>
        <v>38.04402437565094</v>
      </c>
      <c r="J57" s="24">
        <f t="shared" si="18"/>
        <v>85.5118413699326</v>
      </c>
      <c r="K57" s="21">
        <v>17168126.88</v>
      </c>
      <c r="L57" s="21">
        <v>19562542.36</v>
      </c>
      <c r="M57" s="25">
        <f t="shared" si="19"/>
        <v>-0.12239797036278471</v>
      </c>
      <c r="N57" s="10"/>
      <c r="R57" s="2"/>
    </row>
    <row r="58" spans="1:18" ht="15.75" customHeight="1">
      <c r="A58" s="19"/>
      <c r="B58" s="20">
        <f>DATE(2013,11,1)</f>
        <v>41579</v>
      </c>
      <c r="C58" s="21">
        <v>461618</v>
      </c>
      <c r="D58" s="21">
        <f>10448+462095</f>
        <v>472543</v>
      </c>
      <c r="E58" s="23">
        <f t="shared" si="15"/>
        <v>-0.023119589116757627</v>
      </c>
      <c r="F58" s="21">
        <f>+C58-262573</f>
        <v>199045</v>
      </c>
      <c r="G58" s="21">
        <f>+D58-5626-250333</f>
        <v>216584</v>
      </c>
      <c r="H58" s="23">
        <f t="shared" si="16"/>
        <v>-0.08098012780260777</v>
      </c>
      <c r="I58" s="24">
        <f t="shared" si="17"/>
        <v>37.973797880498594</v>
      </c>
      <c r="J58" s="24">
        <f t="shared" si="18"/>
        <v>88.06746529679218</v>
      </c>
      <c r="K58" s="21">
        <v>17529388.63</v>
      </c>
      <c r="L58" s="21">
        <f>381519.06+17192766.43</f>
        <v>17574285.49</v>
      </c>
      <c r="M58" s="25">
        <f t="shared" si="19"/>
        <v>-0.0025546904894396026</v>
      </c>
      <c r="N58" s="10"/>
      <c r="R58" s="2"/>
    </row>
    <row r="59" spans="1:18" ht="15.75" customHeight="1">
      <c r="A59" s="19"/>
      <c r="B59" s="20">
        <f>DATE(2013,12,1)</f>
        <v>41609</v>
      </c>
      <c r="C59" s="21">
        <v>458392</v>
      </c>
      <c r="D59" s="21">
        <v>532924</v>
      </c>
      <c r="E59" s="23">
        <f t="shared" si="15"/>
        <v>-0.13985483858861678</v>
      </c>
      <c r="F59" s="21">
        <f>+C59-248912</f>
        <v>209480</v>
      </c>
      <c r="G59" s="21">
        <f>+D59-290972</f>
        <v>241952</v>
      </c>
      <c r="H59" s="23">
        <f t="shared" si="16"/>
        <v>-0.13420843803729665</v>
      </c>
      <c r="I59" s="24">
        <f t="shared" si="17"/>
        <v>39.394829752700744</v>
      </c>
      <c r="J59" s="24">
        <f t="shared" si="18"/>
        <v>86.20524536948635</v>
      </c>
      <c r="K59" s="21">
        <v>18058274.8</v>
      </c>
      <c r="L59" s="21">
        <v>20285319.3</v>
      </c>
      <c r="M59" s="25">
        <f t="shared" si="19"/>
        <v>-0.10978602146035729</v>
      </c>
      <c r="N59" s="10"/>
      <c r="R59" s="2"/>
    </row>
    <row r="60" spans="1:18" ht="15.75" customHeight="1">
      <c r="A60" s="19"/>
      <c r="B60" s="20">
        <f>DATE(2014,1,1)</f>
        <v>41640</v>
      </c>
      <c r="C60" s="21">
        <v>427322</v>
      </c>
      <c r="D60" s="21">
        <v>589928</v>
      </c>
      <c r="E60" s="23">
        <f t="shared" si="15"/>
        <v>-0.2756370268914173</v>
      </c>
      <c r="F60" s="21">
        <f>+C60-223992</f>
        <v>203330</v>
      </c>
      <c r="G60" s="21">
        <f>+D60-309175</f>
        <v>280753</v>
      </c>
      <c r="H60" s="23">
        <f t="shared" si="16"/>
        <v>-0.2757690924050678</v>
      </c>
      <c r="I60" s="24">
        <f t="shared" si="17"/>
        <v>40.392157295903324</v>
      </c>
      <c r="J60" s="24">
        <f t="shared" si="18"/>
        <v>84.88888722765948</v>
      </c>
      <c r="K60" s="21">
        <v>17260457.44</v>
      </c>
      <c r="L60" s="21">
        <v>19403807.54</v>
      </c>
      <c r="M60" s="25">
        <f t="shared" si="19"/>
        <v>-0.11046028443549476</v>
      </c>
      <c r="N60" s="10"/>
      <c r="R60" s="2"/>
    </row>
    <row r="61" spans="1:18" ht="15.75" customHeight="1">
      <c r="A61" s="19"/>
      <c r="B61" s="20">
        <f>DATE(2014,2,1)</f>
        <v>41671</v>
      </c>
      <c r="C61" s="21">
        <v>431931</v>
      </c>
      <c r="D61" s="21">
        <v>562153</v>
      </c>
      <c r="E61" s="23">
        <f t="shared" si="15"/>
        <v>-0.23164867927414778</v>
      </c>
      <c r="F61" s="21">
        <f>+C61-228252</f>
        <v>203679</v>
      </c>
      <c r="G61" s="21">
        <f>+D61-298400</f>
        <v>263753</v>
      </c>
      <c r="H61" s="23">
        <f t="shared" si="16"/>
        <v>-0.22776612967435442</v>
      </c>
      <c r="I61" s="24">
        <f t="shared" si="17"/>
        <v>41.74089530503714</v>
      </c>
      <c r="J61" s="24">
        <f t="shared" si="18"/>
        <v>88.51765105877385</v>
      </c>
      <c r="K61" s="21">
        <v>18029186.65</v>
      </c>
      <c r="L61" s="21">
        <v>20649033.15</v>
      </c>
      <c r="M61" s="25">
        <f t="shared" si="19"/>
        <v>-0.12687502029604714</v>
      </c>
      <c r="N61" s="10"/>
      <c r="R61" s="2"/>
    </row>
    <row r="62" spans="1:18" ht="15.75" customHeight="1">
      <c r="A62" s="19"/>
      <c r="B62" s="20">
        <f>DATE(2014,3,1)</f>
        <v>41699</v>
      </c>
      <c r="C62" s="21">
        <v>475103</v>
      </c>
      <c r="D62" s="21">
        <v>557503</v>
      </c>
      <c r="E62" s="23">
        <f t="shared" si="15"/>
        <v>-0.1478018952364382</v>
      </c>
      <c r="F62" s="21">
        <f>+C62-250015</f>
        <v>225088</v>
      </c>
      <c r="G62" s="21">
        <f>+D62-301503</f>
        <v>256000</v>
      </c>
      <c r="H62" s="23">
        <f t="shared" si="16"/>
        <v>-0.12075</v>
      </c>
      <c r="I62" s="24">
        <f t="shared" si="17"/>
        <v>42.8094352382536</v>
      </c>
      <c r="J62" s="24">
        <f t="shared" si="18"/>
        <v>90.35973090524594</v>
      </c>
      <c r="K62" s="21">
        <v>20338891.11</v>
      </c>
      <c r="L62" s="21">
        <v>22682661.91</v>
      </c>
      <c r="M62" s="25">
        <f t="shared" si="19"/>
        <v>-0.10332873669323235</v>
      </c>
      <c r="N62" s="10"/>
      <c r="R62" s="2"/>
    </row>
    <row r="63" spans="1:18" ht="15.75" customHeight="1">
      <c r="A63" s="19"/>
      <c r="B63" s="20">
        <f>DATE(2014,4,1)</f>
        <v>41730</v>
      </c>
      <c r="C63" s="21">
        <v>423142</v>
      </c>
      <c r="D63" s="21">
        <v>484817</v>
      </c>
      <c r="E63" s="23">
        <f t="shared" si="15"/>
        <v>-0.12721294839083613</v>
      </c>
      <c r="F63" s="21">
        <f>+C63-221298</f>
        <v>201844</v>
      </c>
      <c r="G63" s="21">
        <f>+D63-258211</f>
        <v>226606</v>
      </c>
      <c r="H63" s="23">
        <f t="shared" si="16"/>
        <v>-0.10927336434163261</v>
      </c>
      <c r="I63" s="24">
        <f t="shared" si="17"/>
        <v>44.19750877955864</v>
      </c>
      <c r="J63" s="24">
        <f t="shared" si="18"/>
        <v>92.65483373298191</v>
      </c>
      <c r="K63" s="21">
        <v>18701822.26</v>
      </c>
      <c r="L63" s="21">
        <v>19693488.31</v>
      </c>
      <c r="M63" s="25">
        <f t="shared" si="19"/>
        <v>-0.05035502265469378</v>
      </c>
      <c r="N63" s="10"/>
      <c r="R63" s="2"/>
    </row>
    <row r="64" spans="1:18" ht="15.75" customHeight="1">
      <c r="A64" s="19"/>
      <c r="B64" s="20">
        <f>DATE(2014,5,1)</f>
        <v>41760</v>
      </c>
      <c r="C64" s="21">
        <v>473634</v>
      </c>
      <c r="D64" s="21">
        <v>511197</v>
      </c>
      <c r="E64" s="23">
        <f t="shared" si="15"/>
        <v>-0.07348047817182025</v>
      </c>
      <c r="F64" s="21">
        <f>+C64-241969</f>
        <v>231665</v>
      </c>
      <c r="G64" s="21">
        <f>+D64-276714</f>
        <v>234483</v>
      </c>
      <c r="H64" s="23">
        <f t="shared" si="16"/>
        <v>-0.012017928805073288</v>
      </c>
      <c r="I64" s="24">
        <f t="shared" si="17"/>
        <v>41.407189158717486</v>
      </c>
      <c r="J64" s="24">
        <f t="shared" si="18"/>
        <v>84.65608801502168</v>
      </c>
      <c r="K64" s="21">
        <v>19611852.63</v>
      </c>
      <c r="L64" s="21">
        <v>20548943.98</v>
      </c>
      <c r="M64" s="25">
        <f t="shared" si="19"/>
        <v>-0.04560289574549716</v>
      </c>
      <c r="N64" s="10"/>
      <c r="R64" s="2"/>
    </row>
    <row r="65" spans="1:18" ht="15.75" customHeight="1">
      <c r="A65" s="19"/>
      <c r="B65" s="20">
        <f>DATE(2014,6,1)</f>
        <v>41791</v>
      </c>
      <c r="C65" s="21">
        <v>400390</v>
      </c>
      <c r="D65" s="21">
        <v>465168</v>
      </c>
      <c r="E65" s="23">
        <f t="shared" si="15"/>
        <v>-0.13925721459773674</v>
      </c>
      <c r="F65" s="21">
        <f>+C65-196845</f>
        <v>203545</v>
      </c>
      <c r="G65" s="21">
        <f>+D65-251733</f>
        <v>213435</v>
      </c>
      <c r="H65" s="23">
        <f t="shared" si="16"/>
        <v>-0.0463372923840982</v>
      </c>
      <c r="I65" s="24">
        <f t="shared" si="17"/>
        <v>44.3100615399985</v>
      </c>
      <c r="J65" s="24">
        <f t="shared" si="18"/>
        <v>87.161588543074</v>
      </c>
      <c r="K65" s="21">
        <v>17741305.54</v>
      </c>
      <c r="L65" s="21">
        <v>17679163.77</v>
      </c>
      <c r="M65" s="25">
        <f t="shared" si="19"/>
        <v>0.0035149722469028045</v>
      </c>
      <c r="N65" s="10"/>
      <c r="R65" s="2"/>
    </row>
    <row r="66" spans="1:18" ht="15.75" thickBot="1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Bot="1" thickTop="1">
      <c r="A67" s="39" t="s">
        <v>14</v>
      </c>
      <c r="B67" s="40"/>
      <c r="C67" s="41">
        <f>SUM(C54:C66)</f>
        <v>5490453</v>
      </c>
      <c r="D67" s="41">
        <f>SUM(D54:D66)</f>
        <v>6278683</v>
      </c>
      <c r="E67" s="286">
        <f>(+C67-D67)/D67</f>
        <v>-0.1255406587655405</v>
      </c>
      <c r="F67" s="41">
        <f>SUM(F54:F66)</f>
        <v>2567896</v>
      </c>
      <c r="G67" s="41">
        <f>SUM(G54:G66)</f>
        <v>2915486</v>
      </c>
      <c r="H67" s="42">
        <f>(+F67-G67)/G67</f>
        <v>-0.11922197534133246</v>
      </c>
      <c r="I67" s="43">
        <f>K67/C67</f>
        <v>40.6843182447787</v>
      </c>
      <c r="J67" s="43">
        <f>K67/F67</f>
        <v>86.98768842663408</v>
      </c>
      <c r="K67" s="41">
        <f>SUM(K54:K66)</f>
        <v>223375337.15999994</v>
      </c>
      <c r="L67" s="41">
        <f>SUM(L54:L66)</f>
        <v>242998713.94</v>
      </c>
      <c r="M67" s="44">
        <f>(+K67-L67)/L67</f>
        <v>-0.08075506434509512</v>
      </c>
      <c r="N67" s="10"/>
      <c r="R67" s="2"/>
    </row>
    <row r="68" spans="1:18" ht="15.75" thickTop="1">
      <c r="A68" s="38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>
      <c r="A69" s="19" t="s">
        <v>16</v>
      </c>
      <c r="B69" s="20">
        <f>DATE(2013,7,1)</f>
        <v>41456</v>
      </c>
      <c r="C69" s="21">
        <v>328290</v>
      </c>
      <c r="D69" s="21">
        <v>380604</v>
      </c>
      <c r="E69" s="23">
        <f aca="true" t="shared" si="20" ref="E69:E80">(+C69-D69)/D69</f>
        <v>-0.13744994797742535</v>
      </c>
      <c r="F69" s="21">
        <f>+C69-151367</f>
        <v>176923</v>
      </c>
      <c r="G69" s="21">
        <f>+D69-174162</f>
        <v>206442</v>
      </c>
      <c r="H69" s="23">
        <f aca="true" t="shared" si="21" ref="H69:H80">(+F69-G69)/G69</f>
        <v>-0.14298931418994196</v>
      </c>
      <c r="I69" s="24">
        <f aca="true" t="shared" si="22" ref="I69:I80">K69/C69</f>
        <v>45.28103579152579</v>
      </c>
      <c r="J69" s="24">
        <f aca="true" t="shared" si="23" ref="J69:J80">K69/F69</f>
        <v>84.02136093102649</v>
      </c>
      <c r="K69" s="21">
        <v>14865311.24</v>
      </c>
      <c r="L69" s="21">
        <v>15902720.89</v>
      </c>
      <c r="M69" s="25">
        <f aca="true" t="shared" si="24" ref="M69:M80">(+K69-L69)/L69</f>
        <v>-0.06523472663425461</v>
      </c>
      <c r="N69" s="10"/>
      <c r="R69" s="2"/>
    </row>
    <row r="70" spans="1:18" ht="15.75">
      <c r="A70" s="19"/>
      <c r="B70" s="20">
        <f>DATE(2013,8,1)</f>
        <v>41487</v>
      </c>
      <c r="C70" s="21">
        <v>339771</v>
      </c>
      <c r="D70" s="21">
        <v>373690</v>
      </c>
      <c r="E70" s="23">
        <f t="shared" si="20"/>
        <v>-0.0907677486686826</v>
      </c>
      <c r="F70" s="21">
        <f>+C70-158219</f>
        <v>181552</v>
      </c>
      <c r="G70" s="21">
        <f>+D70-175092</f>
        <v>198598</v>
      </c>
      <c r="H70" s="23">
        <f t="shared" si="21"/>
        <v>-0.08583168007734217</v>
      </c>
      <c r="I70" s="24">
        <f t="shared" si="22"/>
        <v>45.660958910560346</v>
      </c>
      <c r="J70" s="24">
        <f t="shared" si="23"/>
        <v>85.45358723671455</v>
      </c>
      <c r="K70" s="21">
        <v>15514269.67</v>
      </c>
      <c r="L70" s="21">
        <v>15901675.53</v>
      </c>
      <c r="M70" s="25">
        <f t="shared" si="24"/>
        <v>-0.024362581117261636</v>
      </c>
      <c r="N70" s="10"/>
      <c r="R70" s="2"/>
    </row>
    <row r="71" spans="1:18" ht="15.75">
      <c r="A71" s="19"/>
      <c r="B71" s="20">
        <f>DATE(2013,9,1)</f>
        <v>41518</v>
      </c>
      <c r="C71" s="21">
        <v>321452</v>
      </c>
      <c r="D71" s="21">
        <v>357430</v>
      </c>
      <c r="E71" s="23">
        <f t="shared" si="20"/>
        <v>-0.10065747139300003</v>
      </c>
      <c r="F71" s="21">
        <f>C71-148195</f>
        <v>173257</v>
      </c>
      <c r="G71" s="21">
        <f>D71-166372</f>
        <v>191058</v>
      </c>
      <c r="H71" s="23">
        <f t="shared" si="21"/>
        <v>-0.09317066021836301</v>
      </c>
      <c r="I71" s="24">
        <f t="shared" si="22"/>
        <v>43.70545894876995</v>
      </c>
      <c r="J71" s="24">
        <f t="shared" si="23"/>
        <v>81.08882867647483</v>
      </c>
      <c r="K71" s="21">
        <v>14049207.19</v>
      </c>
      <c r="L71" s="21">
        <v>14582006.96</v>
      </c>
      <c r="M71" s="25">
        <f t="shared" si="24"/>
        <v>-0.036538164565517485</v>
      </c>
      <c r="N71" s="10"/>
      <c r="R71" s="2"/>
    </row>
    <row r="72" spans="1:18" ht="15.75">
      <c r="A72" s="19"/>
      <c r="B72" s="20">
        <f>DATE(2013,10,1)</f>
        <v>41548</v>
      </c>
      <c r="C72" s="21">
        <v>324126</v>
      </c>
      <c r="D72" s="21">
        <v>342721</v>
      </c>
      <c r="E72" s="23">
        <f t="shared" si="20"/>
        <v>-0.05425696120167717</v>
      </c>
      <c r="F72" s="21">
        <f>C72-149108</f>
        <v>175018</v>
      </c>
      <c r="G72" s="21">
        <f>D72-158628</f>
        <v>184093</v>
      </c>
      <c r="H72" s="23">
        <f t="shared" si="21"/>
        <v>-0.04929573639410515</v>
      </c>
      <c r="I72" s="24">
        <f t="shared" si="22"/>
        <v>48.47782047722182</v>
      </c>
      <c r="J72" s="24">
        <f t="shared" si="23"/>
        <v>89.77889154258419</v>
      </c>
      <c r="K72" s="21">
        <v>15712922.04</v>
      </c>
      <c r="L72" s="21">
        <v>14620269.36</v>
      </c>
      <c r="M72" s="25">
        <f t="shared" si="24"/>
        <v>0.07473546848523999</v>
      </c>
      <c r="N72" s="10"/>
      <c r="R72" s="2"/>
    </row>
    <row r="73" spans="1:18" ht="15.75">
      <c r="A73" s="19"/>
      <c r="B73" s="20">
        <f>DATE(2013,11,1)</f>
        <v>41579</v>
      </c>
      <c r="C73" s="21">
        <v>334601</v>
      </c>
      <c r="D73" s="21">
        <v>359162</v>
      </c>
      <c r="E73" s="23">
        <f t="shared" si="20"/>
        <v>-0.06838418318196246</v>
      </c>
      <c r="F73" s="21">
        <f>+C73-156770</f>
        <v>177831</v>
      </c>
      <c r="G73" s="21">
        <f>+D73-166869</f>
        <v>192293</v>
      </c>
      <c r="H73" s="23">
        <f t="shared" si="21"/>
        <v>-0.07520814590234694</v>
      </c>
      <c r="I73" s="24">
        <f t="shared" si="22"/>
        <v>46.672208570805225</v>
      </c>
      <c r="J73" s="24">
        <f t="shared" si="23"/>
        <v>87.81690290219366</v>
      </c>
      <c r="K73" s="21">
        <v>15616567.66</v>
      </c>
      <c r="L73" s="21">
        <v>15203898.02</v>
      </c>
      <c r="M73" s="25">
        <f t="shared" si="24"/>
        <v>0.02714235779910872</v>
      </c>
      <c r="N73" s="10"/>
      <c r="R73" s="2"/>
    </row>
    <row r="74" spans="1:18" ht="15.75">
      <c r="A74" s="19"/>
      <c r="B74" s="20">
        <f>DATE(2013,12,1)</f>
        <v>41609</v>
      </c>
      <c r="C74" s="21">
        <v>301819</v>
      </c>
      <c r="D74" s="21">
        <v>361660</v>
      </c>
      <c r="E74" s="23">
        <f t="shared" si="20"/>
        <v>-0.1654620361665653</v>
      </c>
      <c r="F74" s="21">
        <f>+C74-143369</f>
        <v>158450</v>
      </c>
      <c r="G74" s="21">
        <f>+D74-168956</f>
        <v>192704</v>
      </c>
      <c r="H74" s="23">
        <f t="shared" si="21"/>
        <v>-0.17775448356027898</v>
      </c>
      <c r="I74" s="24">
        <f t="shared" si="22"/>
        <v>43.71724381168846</v>
      </c>
      <c r="J74" s="24">
        <f t="shared" si="23"/>
        <v>83.27355512780058</v>
      </c>
      <c r="K74" s="21">
        <v>13194694.81</v>
      </c>
      <c r="L74" s="21">
        <v>15001833.91</v>
      </c>
      <c r="M74" s="25">
        <f t="shared" si="24"/>
        <v>-0.1204612123318728</v>
      </c>
      <c r="N74" s="10"/>
      <c r="R74" s="2"/>
    </row>
    <row r="75" spans="1:18" ht="15.75">
      <c r="A75" s="19"/>
      <c r="B75" s="20">
        <f>DATE(2014,1,1)</f>
        <v>41640</v>
      </c>
      <c r="C75" s="21">
        <v>289898</v>
      </c>
      <c r="D75" s="21">
        <v>313725</v>
      </c>
      <c r="E75" s="23">
        <f t="shared" si="20"/>
        <v>-0.07594868116981433</v>
      </c>
      <c r="F75" s="21">
        <f>+C75-137514</f>
        <v>152384</v>
      </c>
      <c r="G75" s="21">
        <f>+D75-149802</f>
        <v>163923</v>
      </c>
      <c r="H75" s="23">
        <f t="shared" si="21"/>
        <v>-0.0703928063786046</v>
      </c>
      <c r="I75" s="24">
        <f t="shared" si="22"/>
        <v>44.43106330502453</v>
      </c>
      <c r="J75" s="24">
        <f t="shared" si="23"/>
        <v>84.5264357806594</v>
      </c>
      <c r="K75" s="21">
        <v>12880476.39</v>
      </c>
      <c r="L75" s="21">
        <v>13065027.73</v>
      </c>
      <c r="M75" s="25">
        <f t="shared" si="24"/>
        <v>-0.014125598798097602</v>
      </c>
      <c r="N75" s="10"/>
      <c r="R75" s="2"/>
    </row>
    <row r="76" spans="1:18" ht="15.75">
      <c r="A76" s="19"/>
      <c r="B76" s="20">
        <f>DATE(2014,2,1)</f>
        <v>41671</v>
      </c>
      <c r="C76" s="21">
        <v>304239</v>
      </c>
      <c r="D76" s="21">
        <v>316522</v>
      </c>
      <c r="E76" s="23">
        <f t="shared" si="20"/>
        <v>-0.038806149335591206</v>
      </c>
      <c r="F76" s="21">
        <f>+C76-147092</f>
        <v>157147</v>
      </c>
      <c r="G76" s="21">
        <f>+D76-150600</f>
        <v>165922</v>
      </c>
      <c r="H76" s="23">
        <f t="shared" si="21"/>
        <v>-0.05288629597039573</v>
      </c>
      <c r="I76" s="24">
        <f t="shared" si="22"/>
        <v>44.06049914705215</v>
      </c>
      <c r="J76" s="24">
        <f t="shared" si="23"/>
        <v>85.3018014979605</v>
      </c>
      <c r="K76" s="21">
        <v>13404922.2</v>
      </c>
      <c r="L76" s="21">
        <v>13850055.18</v>
      </c>
      <c r="M76" s="25">
        <f t="shared" si="24"/>
        <v>-0.032139437295729274</v>
      </c>
      <c r="N76" s="10"/>
      <c r="R76" s="2"/>
    </row>
    <row r="77" spans="1:18" ht="15.75">
      <c r="A77" s="19"/>
      <c r="B77" s="20">
        <f>DATE(2014,3,1)</f>
        <v>41699</v>
      </c>
      <c r="C77" s="21">
        <v>357281</v>
      </c>
      <c r="D77" s="21">
        <v>360556</v>
      </c>
      <c r="E77" s="23">
        <f t="shared" si="20"/>
        <v>-0.009083193734121746</v>
      </c>
      <c r="F77" s="21">
        <f>+C77-171897</f>
        <v>185384</v>
      </c>
      <c r="G77" s="21">
        <f>+D77-171185</f>
        <v>189371</v>
      </c>
      <c r="H77" s="23">
        <f t="shared" si="21"/>
        <v>-0.021053910049585206</v>
      </c>
      <c r="I77" s="24">
        <f t="shared" si="22"/>
        <v>43.48387837584423</v>
      </c>
      <c r="J77" s="24">
        <f t="shared" si="23"/>
        <v>83.8042309476546</v>
      </c>
      <c r="K77" s="21">
        <v>15535963.55</v>
      </c>
      <c r="L77" s="21">
        <v>16895032.83</v>
      </c>
      <c r="M77" s="25">
        <f t="shared" si="24"/>
        <v>-0.0804419437165425</v>
      </c>
      <c r="N77" s="10"/>
      <c r="R77" s="2"/>
    </row>
    <row r="78" spans="1:18" ht="15.75">
      <c r="A78" s="19"/>
      <c r="B78" s="20">
        <f>DATE(2014,4,1)</f>
        <v>41730</v>
      </c>
      <c r="C78" s="21">
        <v>324783</v>
      </c>
      <c r="D78" s="21">
        <v>324993</v>
      </c>
      <c r="E78" s="23">
        <f t="shared" si="20"/>
        <v>-0.0006461677636133701</v>
      </c>
      <c r="F78" s="21">
        <f>+C78-154190</f>
        <v>170593</v>
      </c>
      <c r="G78" s="21">
        <f>+D78-151568</f>
        <v>173425</v>
      </c>
      <c r="H78" s="23">
        <f t="shared" si="21"/>
        <v>-0.01632982557301427</v>
      </c>
      <c r="I78" s="24">
        <f t="shared" si="22"/>
        <v>45.392724034201294</v>
      </c>
      <c r="J78" s="24">
        <f t="shared" si="23"/>
        <v>86.42080911877979</v>
      </c>
      <c r="K78" s="21">
        <v>14742785.09</v>
      </c>
      <c r="L78" s="21">
        <v>15028888.56</v>
      </c>
      <c r="M78" s="25">
        <f t="shared" si="24"/>
        <v>-0.01903690142207034</v>
      </c>
      <c r="N78" s="10"/>
      <c r="R78" s="2"/>
    </row>
    <row r="79" spans="1:18" ht="15.75">
      <c r="A79" s="19"/>
      <c r="B79" s="20">
        <f>DATE(2014,5,1)</f>
        <v>41760</v>
      </c>
      <c r="C79" s="21">
        <v>332300</v>
      </c>
      <c r="D79" s="21">
        <v>333431</v>
      </c>
      <c r="E79" s="23">
        <f t="shared" si="20"/>
        <v>-0.003392006142200335</v>
      </c>
      <c r="F79" s="21">
        <f>+C79-156275</f>
        <v>176025</v>
      </c>
      <c r="G79" s="21">
        <f>+D79-155458</f>
        <v>177973</v>
      </c>
      <c r="H79" s="23">
        <f t="shared" si="21"/>
        <v>-0.010945480494232272</v>
      </c>
      <c r="I79" s="24">
        <f t="shared" si="22"/>
        <v>48.05348311766476</v>
      </c>
      <c r="J79" s="24">
        <f t="shared" si="23"/>
        <v>90.71536679448941</v>
      </c>
      <c r="K79" s="21">
        <v>15968172.44</v>
      </c>
      <c r="L79" s="21">
        <v>15654472.54</v>
      </c>
      <c r="M79" s="25">
        <f t="shared" si="24"/>
        <v>0.020038995194404705</v>
      </c>
      <c r="N79" s="10"/>
      <c r="R79" s="2"/>
    </row>
    <row r="80" spans="1:18" ht="15.75">
      <c r="A80" s="19"/>
      <c r="B80" s="20">
        <f>DATE(2014,6,1)</f>
        <v>41791</v>
      </c>
      <c r="C80" s="21">
        <v>308736</v>
      </c>
      <c r="D80" s="21">
        <v>314821</v>
      </c>
      <c r="E80" s="23">
        <f t="shared" si="20"/>
        <v>-0.019328443782339805</v>
      </c>
      <c r="F80" s="21">
        <f>+C80-148097</f>
        <v>160639</v>
      </c>
      <c r="G80" s="21">
        <f>+D80-144898</f>
        <v>169923</v>
      </c>
      <c r="H80" s="23">
        <f t="shared" si="21"/>
        <v>-0.05463651183182971</v>
      </c>
      <c r="I80" s="24">
        <f t="shared" si="22"/>
        <v>44.0211018799233</v>
      </c>
      <c r="J80" s="24">
        <f t="shared" si="23"/>
        <v>84.60522606589932</v>
      </c>
      <c r="K80" s="21">
        <v>13590898.91</v>
      </c>
      <c r="L80" s="21">
        <v>14165077.26</v>
      </c>
      <c r="M80" s="25">
        <f t="shared" si="24"/>
        <v>-0.04053478420632346</v>
      </c>
      <c r="N80" s="10"/>
      <c r="R80" s="2"/>
    </row>
    <row r="81" spans="1:18" ht="15.75" thickBot="1">
      <c r="A81" s="38"/>
      <c r="B81" s="20"/>
      <c r="C81" s="21"/>
      <c r="D81" s="21"/>
      <c r="E81" s="23"/>
      <c r="F81" s="21"/>
      <c r="G81" s="21"/>
      <c r="H81" s="23"/>
      <c r="I81" s="24"/>
      <c r="J81" s="24"/>
      <c r="K81" s="21"/>
      <c r="L81" s="21"/>
      <c r="M81" s="25"/>
      <c r="N81" s="10"/>
      <c r="R81" s="2"/>
    </row>
    <row r="82" spans="1:18" ht="17.25" thickBot="1" thickTop="1">
      <c r="A82" s="39" t="s">
        <v>14</v>
      </c>
      <c r="B82" s="40"/>
      <c r="C82" s="41">
        <f>SUM(C69:C81)</f>
        <v>3867296</v>
      </c>
      <c r="D82" s="41">
        <f>SUM(D69:D81)</f>
        <v>4139315</v>
      </c>
      <c r="E82" s="287">
        <f>(+C82-D82)/D82</f>
        <v>-0.06571594575430958</v>
      </c>
      <c r="F82" s="47">
        <f>SUM(F69:F81)</f>
        <v>2045203</v>
      </c>
      <c r="G82" s="48">
        <f>SUM(G69:G81)</f>
        <v>2205725</v>
      </c>
      <c r="H82" s="49">
        <f>(+F82-G82)/G82</f>
        <v>-0.07277516462841016</v>
      </c>
      <c r="I82" s="50">
        <f>K82/C82</f>
        <v>45.27095706922873</v>
      </c>
      <c r="J82" s="51">
        <f>K82/F82</f>
        <v>85.6033318893039</v>
      </c>
      <c r="K82" s="48">
        <f>SUM(K69:K81)</f>
        <v>175076191.19</v>
      </c>
      <c r="L82" s="47">
        <f>SUM(L69:L81)</f>
        <v>179870958.77</v>
      </c>
      <c r="M82" s="44">
        <f>(+K82-L82)/L82</f>
        <v>-0.026656707746418675</v>
      </c>
      <c r="N82" s="10"/>
      <c r="R82" s="2"/>
    </row>
    <row r="83" spans="1:18" ht="15.75" customHeight="1" thickTop="1">
      <c r="A83" s="275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5.75">
      <c r="A84" s="277" t="s">
        <v>64</v>
      </c>
      <c r="B84" s="20">
        <f>DATE(2013,7,1)</f>
        <v>41456</v>
      </c>
      <c r="C84" s="21">
        <v>165951</v>
      </c>
      <c r="D84" s="21">
        <v>0</v>
      </c>
      <c r="E84" s="23">
        <v>1</v>
      </c>
      <c r="F84" s="21">
        <f>+C84-83581</f>
        <v>82370</v>
      </c>
      <c r="G84" s="21">
        <v>0</v>
      </c>
      <c r="H84" s="23">
        <v>1</v>
      </c>
      <c r="I84" s="24">
        <f aca="true" t="shared" si="25" ref="I84:I95">K84/C84</f>
        <v>29.28965110183126</v>
      </c>
      <c r="J84" s="24">
        <f aca="true" t="shared" si="26" ref="J84:J95">K84/F84</f>
        <v>59.00991732426854</v>
      </c>
      <c r="K84" s="21">
        <v>4860646.89</v>
      </c>
      <c r="L84" s="21">
        <v>0</v>
      </c>
      <c r="M84" s="25">
        <v>1</v>
      </c>
      <c r="N84" s="10"/>
      <c r="R84" s="2"/>
    </row>
    <row r="85" spans="1:18" ht="15.75">
      <c r="A85" s="277"/>
      <c r="B85" s="20">
        <f>DATE(2013,8,1)</f>
        <v>41487</v>
      </c>
      <c r="C85" s="21">
        <v>175697</v>
      </c>
      <c r="D85" s="21">
        <v>0</v>
      </c>
      <c r="E85" s="23">
        <v>1</v>
      </c>
      <c r="F85" s="21">
        <f>+C85-88595</f>
        <v>87102</v>
      </c>
      <c r="G85" s="21">
        <v>0</v>
      </c>
      <c r="H85" s="23">
        <v>1</v>
      </c>
      <c r="I85" s="24">
        <f t="shared" si="25"/>
        <v>29.388708742892593</v>
      </c>
      <c r="J85" s="24">
        <f t="shared" si="26"/>
        <v>59.28116415237308</v>
      </c>
      <c r="K85" s="21">
        <v>5163507.96</v>
      </c>
      <c r="L85" s="21">
        <v>0</v>
      </c>
      <c r="M85" s="25">
        <v>1</v>
      </c>
      <c r="N85" s="10"/>
      <c r="R85" s="2"/>
    </row>
    <row r="86" spans="1:18" ht="15.75">
      <c r="A86" s="277"/>
      <c r="B86" s="20">
        <f>DATE(2013,9,1)</f>
        <v>41518</v>
      </c>
      <c r="C86" s="21">
        <v>144756</v>
      </c>
      <c r="D86" s="21">
        <v>0</v>
      </c>
      <c r="E86" s="23">
        <v>1</v>
      </c>
      <c r="F86" s="21">
        <f>C86-74140</f>
        <v>70616</v>
      </c>
      <c r="G86" s="21">
        <v>0</v>
      </c>
      <c r="H86" s="23">
        <v>1</v>
      </c>
      <c r="I86" s="24">
        <f t="shared" si="25"/>
        <v>31.84674624886015</v>
      </c>
      <c r="J86" s="24">
        <f t="shared" si="26"/>
        <v>65.28276311317548</v>
      </c>
      <c r="K86" s="21">
        <v>4610007.6</v>
      </c>
      <c r="L86" s="21">
        <v>0</v>
      </c>
      <c r="M86" s="25">
        <v>1</v>
      </c>
      <c r="N86" s="10"/>
      <c r="R86" s="2"/>
    </row>
    <row r="87" spans="1:18" ht="15.75">
      <c r="A87" s="277"/>
      <c r="B87" s="20">
        <f>DATE(2013,10,1)</f>
        <v>41548</v>
      </c>
      <c r="C87" s="21">
        <v>131947</v>
      </c>
      <c r="D87" s="21">
        <v>20777</v>
      </c>
      <c r="E87" s="23">
        <f aca="true" t="shared" si="27" ref="E87:E95">(+C87-D87)/D87</f>
        <v>5.350628098378015</v>
      </c>
      <c r="F87" s="21">
        <f>+C87-66592</f>
        <v>65355</v>
      </c>
      <c r="G87" s="21">
        <f>D87-10074</f>
        <v>10703</v>
      </c>
      <c r="H87" s="23">
        <f aca="true" t="shared" si="28" ref="H87:H94">(+F87-G87)/G87</f>
        <v>5.106231897598804</v>
      </c>
      <c r="I87" s="24">
        <f t="shared" si="25"/>
        <v>32.22623629184445</v>
      </c>
      <c r="J87" s="24">
        <f t="shared" si="26"/>
        <v>65.06243133654655</v>
      </c>
      <c r="K87" s="21">
        <v>4252155.2</v>
      </c>
      <c r="L87" s="21">
        <v>613980.86</v>
      </c>
      <c r="M87" s="25">
        <f aca="true" t="shared" si="29" ref="M87:M95">(+K87-L87)/L87</f>
        <v>5.925550089623315</v>
      </c>
      <c r="N87" s="10"/>
      <c r="R87" s="2"/>
    </row>
    <row r="88" spans="1:18" ht="15.75">
      <c r="A88" s="277"/>
      <c r="B88" s="20">
        <f>DATE(2013,11,1)</f>
        <v>41579</v>
      </c>
      <c r="C88" s="21">
        <v>142720</v>
      </c>
      <c r="D88" s="21">
        <v>211077</v>
      </c>
      <c r="E88" s="23">
        <f t="shared" si="27"/>
        <v>-0.32384864291230214</v>
      </c>
      <c r="F88" s="21">
        <f>+C88-74196</f>
        <v>68524</v>
      </c>
      <c r="G88" s="21">
        <f>+D88-100693</f>
        <v>110384</v>
      </c>
      <c r="H88" s="23">
        <f t="shared" si="28"/>
        <v>-0.37922162632265544</v>
      </c>
      <c r="I88" s="24">
        <f t="shared" si="25"/>
        <v>32.71860138733184</v>
      </c>
      <c r="J88" s="24">
        <f t="shared" si="26"/>
        <v>68.14544962348958</v>
      </c>
      <c r="K88" s="21">
        <v>4669598.79</v>
      </c>
      <c r="L88" s="21">
        <v>5386616.73</v>
      </c>
      <c r="M88" s="25">
        <f t="shared" si="29"/>
        <v>-0.1331110000840918</v>
      </c>
      <c r="N88" s="10"/>
      <c r="R88" s="2"/>
    </row>
    <row r="89" spans="1:18" ht="15.75">
      <c r="A89" s="277"/>
      <c r="B89" s="20">
        <f>DATE(2013,12,1)</f>
        <v>41609</v>
      </c>
      <c r="C89" s="21">
        <v>139605</v>
      </c>
      <c r="D89" s="21">
        <v>191675</v>
      </c>
      <c r="E89" s="23">
        <f t="shared" si="27"/>
        <v>-0.2716577540106952</v>
      </c>
      <c r="F89" s="21">
        <f>+C89-73069</f>
        <v>66536</v>
      </c>
      <c r="G89" s="21">
        <f>+D89-100626</f>
        <v>91049</v>
      </c>
      <c r="H89" s="23">
        <f t="shared" si="28"/>
        <v>-0.2692286570967281</v>
      </c>
      <c r="I89" s="24">
        <f t="shared" si="25"/>
        <v>32.585264711149314</v>
      </c>
      <c r="J89" s="24">
        <f t="shared" si="26"/>
        <v>68.36999338703859</v>
      </c>
      <c r="K89" s="21">
        <v>4549065.88</v>
      </c>
      <c r="L89" s="21">
        <v>5000511.01</v>
      </c>
      <c r="M89" s="25">
        <f t="shared" si="29"/>
        <v>-0.09027979922395969</v>
      </c>
      <c r="N89" s="10"/>
      <c r="R89" s="2"/>
    </row>
    <row r="90" spans="1:18" ht="15.75">
      <c r="A90" s="277"/>
      <c r="B90" s="20">
        <f>DATE(2014,1,1)</f>
        <v>41640</v>
      </c>
      <c r="C90" s="21">
        <v>135616</v>
      </c>
      <c r="D90" s="21">
        <v>180595</v>
      </c>
      <c r="E90" s="23">
        <f t="shared" si="27"/>
        <v>-0.2490600514964423</v>
      </c>
      <c r="F90" s="21">
        <f>+C90-71656</f>
        <v>63960</v>
      </c>
      <c r="G90" s="21">
        <f>+D90-97955</f>
        <v>82640</v>
      </c>
      <c r="H90" s="23">
        <f t="shared" si="28"/>
        <v>-0.2260406582768635</v>
      </c>
      <c r="I90" s="24">
        <f t="shared" si="25"/>
        <v>33.67344008081642</v>
      </c>
      <c r="J90" s="24">
        <f t="shared" si="26"/>
        <v>71.39864368355222</v>
      </c>
      <c r="K90" s="21">
        <v>4566657.25</v>
      </c>
      <c r="L90" s="21">
        <v>4824685.99</v>
      </c>
      <c r="M90" s="25">
        <f t="shared" si="29"/>
        <v>-0.05348093959582232</v>
      </c>
      <c r="N90" s="10"/>
      <c r="R90" s="2"/>
    </row>
    <row r="91" spans="1:18" ht="15.75">
      <c r="A91" s="277"/>
      <c r="B91" s="20">
        <f>DATE(2014,2,1)</f>
        <v>41671</v>
      </c>
      <c r="C91" s="21">
        <v>152584</v>
      </c>
      <c r="D91" s="21">
        <v>245105</v>
      </c>
      <c r="E91" s="23">
        <f t="shared" si="27"/>
        <v>-0.3774749597111442</v>
      </c>
      <c r="F91" s="21">
        <f>+C91-77852</f>
        <v>74732</v>
      </c>
      <c r="G91" s="21">
        <f>+D91-142190</f>
        <v>102915</v>
      </c>
      <c r="H91" s="23">
        <f t="shared" si="28"/>
        <v>-0.2738473497546519</v>
      </c>
      <c r="I91" s="24">
        <f t="shared" si="25"/>
        <v>31.494040790646462</v>
      </c>
      <c r="J91" s="24">
        <f t="shared" si="26"/>
        <v>64.30293207728951</v>
      </c>
      <c r="K91" s="21">
        <v>4805486.72</v>
      </c>
      <c r="L91" s="21">
        <v>6528785.3</v>
      </c>
      <c r="M91" s="25">
        <f t="shared" si="29"/>
        <v>-0.2639539364236714</v>
      </c>
      <c r="N91" s="10"/>
      <c r="R91" s="2"/>
    </row>
    <row r="92" spans="1:18" ht="15.75">
      <c r="A92" s="277"/>
      <c r="B92" s="20">
        <f>DATE(2014,3,1)</f>
        <v>41699</v>
      </c>
      <c r="C92" s="21">
        <v>159011</v>
      </c>
      <c r="D92" s="21">
        <v>287955</v>
      </c>
      <c r="E92" s="23">
        <f t="shared" si="27"/>
        <v>-0.44779218975187096</v>
      </c>
      <c r="F92" s="21">
        <f>+C92-80127</f>
        <v>78884</v>
      </c>
      <c r="G92" s="21">
        <f>+D92-165019</f>
        <v>122936</v>
      </c>
      <c r="H92" s="23">
        <f t="shared" si="28"/>
        <v>-0.3583327910457474</v>
      </c>
      <c r="I92" s="24">
        <f t="shared" si="25"/>
        <v>33.102693775902296</v>
      </c>
      <c r="J92" s="24">
        <f t="shared" si="26"/>
        <v>66.72699710968004</v>
      </c>
      <c r="K92" s="21">
        <v>5263692.44</v>
      </c>
      <c r="L92" s="21">
        <v>7610855.03</v>
      </c>
      <c r="M92" s="25">
        <f t="shared" si="29"/>
        <v>-0.3083967019143183</v>
      </c>
      <c r="N92" s="10"/>
      <c r="R92" s="2"/>
    </row>
    <row r="93" spans="1:18" ht="15.75">
      <c r="A93" s="277"/>
      <c r="B93" s="20">
        <f>DATE(2014,4,1)</f>
        <v>41730</v>
      </c>
      <c r="C93" s="21">
        <v>148282</v>
      </c>
      <c r="D93" s="21">
        <v>194158</v>
      </c>
      <c r="E93" s="23">
        <f t="shared" si="27"/>
        <v>-0.23628179111857353</v>
      </c>
      <c r="F93" s="21">
        <f>+C93-72679</f>
        <v>75603</v>
      </c>
      <c r="G93" s="21">
        <f>++D93-112288</f>
        <v>81870</v>
      </c>
      <c r="H93" s="23">
        <f t="shared" si="28"/>
        <v>-0.07654818614877244</v>
      </c>
      <c r="I93" s="24">
        <f t="shared" si="25"/>
        <v>33.62591986889845</v>
      </c>
      <c r="J93" s="24">
        <f t="shared" si="26"/>
        <v>65.95133328042539</v>
      </c>
      <c r="K93" s="21">
        <v>4986118.65</v>
      </c>
      <c r="L93" s="21">
        <v>5684828.75</v>
      </c>
      <c r="M93" s="25">
        <f t="shared" si="29"/>
        <v>-0.12290785364466777</v>
      </c>
      <c r="N93" s="10"/>
      <c r="R93" s="2"/>
    </row>
    <row r="94" spans="1:18" ht="15.75">
      <c r="A94" s="277"/>
      <c r="B94" s="20">
        <f>DATE(2014,5,1)</f>
        <v>41760</v>
      </c>
      <c r="C94" s="21">
        <v>149309</v>
      </c>
      <c r="D94" s="21">
        <v>164884</v>
      </c>
      <c r="E94" s="23">
        <f t="shared" si="27"/>
        <v>-0.09446034788093448</v>
      </c>
      <c r="F94" s="21">
        <f>+C94-71713</f>
        <v>77596</v>
      </c>
      <c r="G94" s="21">
        <f>+D94-93145</f>
        <v>71739</v>
      </c>
      <c r="H94" s="23">
        <f t="shared" si="28"/>
        <v>0.08164317874517348</v>
      </c>
      <c r="I94" s="24">
        <f t="shared" si="25"/>
        <v>34.16114942836667</v>
      </c>
      <c r="J94" s="24">
        <f t="shared" si="26"/>
        <v>65.73234522398062</v>
      </c>
      <c r="K94" s="21">
        <v>5100567.06</v>
      </c>
      <c r="L94" s="21">
        <v>4979894.13</v>
      </c>
      <c r="M94" s="25">
        <f t="shared" si="29"/>
        <v>0.024232027197734766</v>
      </c>
      <c r="N94" s="10"/>
      <c r="R94" s="2"/>
    </row>
    <row r="95" spans="1:18" ht="15.75">
      <c r="A95" s="277"/>
      <c r="B95" s="20">
        <f>DATE(2014,6,1)</f>
        <v>41791</v>
      </c>
      <c r="C95" s="21">
        <v>139728</v>
      </c>
      <c r="D95" s="21">
        <v>154501</v>
      </c>
      <c r="E95" s="23">
        <f t="shared" si="27"/>
        <v>-0.09561750409382463</v>
      </c>
      <c r="F95" s="21">
        <f>+C95-66678</f>
        <v>73050</v>
      </c>
      <c r="G95" s="21">
        <f>+D95-81976</f>
        <v>72525</v>
      </c>
      <c r="H95" s="23"/>
      <c r="I95" s="24">
        <f t="shared" si="25"/>
        <v>32.01768822283293</v>
      </c>
      <c r="J95" s="24">
        <f t="shared" si="26"/>
        <v>61.242539904175224</v>
      </c>
      <c r="K95" s="21">
        <v>4473767.54</v>
      </c>
      <c r="L95" s="21">
        <v>4514274.75</v>
      </c>
      <c r="M95" s="25">
        <f t="shared" si="29"/>
        <v>-0.008973137933175194</v>
      </c>
      <c r="N95" s="10"/>
      <c r="R95" s="2"/>
    </row>
    <row r="96" spans="1:18" ht="15.75" customHeight="1" thickBot="1">
      <c r="A96" s="19"/>
      <c r="B96" s="20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customHeight="1" thickBot="1" thickTop="1">
      <c r="A97" s="39" t="s">
        <v>14</v>
      </c>
      <c r="B97" s="52"/>
      <c r="C97" s="47">
        <f>SUM(C84:C96)</f>
        <v>1785206</v>
      </c>
      <c r="D97" s="48">
        <f>SUM(D84:D96)</f>
        <v>1650727</v>
      </c>
      <c r="E97" s="287">
        <f>(+C97-D97)/D97</f>
        <v>0.08146652959574781</v>
      </c>
      <c r="F97" s="48">
        <f>SUM(F84:F96)</f>
        <v>884328</v>
      </c>
      <c r="G97" s="47">
        <f>SUM(G84:G96)</f>
        <v>746761</v>
      </c>
      <c r="H97" s="46">
        <f>(+F97-G97)/G97</f>
        <v>0.18421824385579857</v>
      </c>
      <c r="I97" s="51">
        <f>K97/C97</f>
        <v>32.097848640437014</v>
      </c>
      <c r="J97" s="50">
        <f>K97/F97</f>
        <v>64.79640131263513</v>
      </c>
      <c r="K97" s="47">
        <f>SUM(K84:K96)</f>
        <v>57301271.98</v>
      </c>
      <c r="L97" s="48">
        <f>SUM(L84:L96)</f>
        <v>45144432.550000004</v>
      </c>
      <c r="M97" s="44">
        <f>(+K97-L97)/L97</f>
        <v>0.2692876783097364</v>
      </c>
      <c r="N97" s="10"/>
      <c r="R97" s="2"/>
    </row>
    <row r="98" spans="1:18" ht="15.75" customHeight="1" thickTop="1">
      <c r="A98" s="19"/>
      <c r="B98" s="45"/>
      <c r="C98" s="21"/>
      <c r="D98" s="21"/>
      <c r="E98" s="23"/>
      <c r="F98" s="21"/>
      <c r="G98" s="21"/>
      <c r="H98" s="23"/>
      <c r="I98" s="24"/>
      <c r="J98" s="24"/>
      <c r="K98" s="21"/>
      <c r="L98" s="21"/>
      <c r="M98" s="25"/>
      <c r="N98" s="10"/>
      <c r="R98" s="2"/>
    </row>
    <row r="99" spans="1:18" ht="15.75">
      <c r="A99" s="19" t="s">
        <v>17</v>
      </c>
      <c r="B99" s="20">
        <f>DATE(2013,7,1)</f>
        <v>41456</v>
      </c>
      <c r="C99" s="21">
        <v>238714</v>
      </c>
      <c r="D99" s="21">
        <v>249746</v>
      </c>
      <c r="E99" s="23">
        <f aca="true" t="shared" si="30" ref="E99:E110">(+C99-D99)/D99</f>
        <v>-0.04417287964572005</v>
      </c>
      <c r="F99" s="21">
        <f>+C99-112243</f>
        <v>126471</v>
      </c>
      <c r="G99" s="21">
        <f>+D99-122665</f>
        <v>127081</v>
      </c>
      <c r="H99" s="23">
        <f aca="true" t="shared" si="31" ref="H99:H110">(+F99-G99)/G99</f>
        <v>-0.004800088132765716</v>
      </c>
      <c r="I99" s="24">
        <f aca="true" t="shared" si="32" ref="I99:I110">K99/C99</f>
        <v>27.527799919569027</v>
      </c>
      <c r="J99" s="24">
        <f aca="true" t="shared" si="33" ref="J99:J110">K99/F99</f>
        <v>51.95871962742447</v>
      </c>
      <c r="K99" s="21">
        <v>6571271.23</v>
      </c>
      <c r="L99" s="21">
        <v>6656688.84</v>
      </c>
      <c r="M99" s="25">
        <f aca="true" t="shared" si="34" ref="M99:M110">(+K99-L99)/L99</f>
        <v>-0.012831846591164896</v>
      </c>
      <c r="N99" s="10"/>
      <c r="R99" s="2"/>
    </row>
    <row r="100" spans="1:18" ht="15.75">
      <c r="A100" s="19"/>
      <c r="B100" s="20">
        <f>DATE(2013,8,1)</f>
        <v>41487</v>
      </c>
      <c r="C100" s="21">
        <v>242695</v>
      </c>
      <c r="D100" s="21">
        <v>250066</v>
      </c>
      <c r="E100" s="23">
        <f t="shared" si="30"/>
        <v>-0.02947621827837451</v>
      </c>
      <c r="F100" s="21">
        <f>+C100-116570</f>
        <v>126125</v>
      </c>
      <c r="G100" s="21">
        <f>+D100-122530</f>
        <v>127536</v>
      </c>
      <c r="H100" s="23">
        <f t="shared" si="31"/>
        <v>-0.011063542842805169</v>
      </c>
      <c r="I100" s="24">
        <f t="shared" si="32"/>
        <v>26.918226333463814</v>
      </c>
      <c r="J100" s="24">
        <f t="shared" si="33"/>
        <v>51.797176927651144</v>
      </c>
      <c r="K100" s="21">
        <v>6532918.94</v>
      </c>
      <c r="L100" s="21">
        <v>6835454.37</v>
      </c>
      <c r="M100" s="25">
        <f t="shared" si="34"/>
        <v>-0.04425973953213584</v>
      </c>
      <c r="N100" s="10"/>
      <c r="R100" s="2"/>
    </row>
    <row r="101" spans="1:18" ht="15.75">
      <c r="A101" s="19"/>
      <c r="B101" s="20">
        <f>DATE(2013,9,1)</f>
        <v>41518</v>
      </c>
      <c r="C101" s="21">
        <v>223266</v>
      </c>
      <c r="D101" s="21">
        <v>246236</v>
      </c>
      <c r="E101" s="23">
        <f t="shared" si="30"/>
        <v>-0.09328449130102828</v>
      </c>
      <c r="F101" s="21">
        <f>+C101-107094</f>
        <v>116172</v>
      </c>
      <c r="G101" s="21">
        <f>D101-126830</f>
        <v>119406</v>
      </c>
      <c r="H101" s="23">
        <f t="shared" si="31"/>
        <v>-0.027084066127330286</v>
      </c>
      <c r="I101" s="24">
        <f t="shared" si="32"/>
        <v>27.461820519022154</v>
      </c>
      <c r="J101" s="24">
        <f t="shared" si="33"/>
        <v>52.777698757015465</v>
      </c>
      <c r="K101" s="21">
        <v>6131290.82</v>
      </c>
      <c r="L101" s="21">
        <v>6422695.39</v>
      </c>
      <c r="M101" s="25">
        <f t="shared" si="34"/>
        <v>-0.04537107122559636</v>
      </c>
      <c r="N101" s="10"/>
      <c r="R101" s="2"/>
    </row>
    <row r="102" spans="1:18" ht="15.75">
      <c r="A102" s="19"/>
      <c r="B102" s="20">
        <f>DATE(2013,10,1)</f>
        <v>41548</v>
      </c>
      <c r="C102" s="21">
        <v>220292</v>
      </c>
      <c r="D102" s="21">
        <v>229601</v>
      </c>
      <c r="E102" s="23">
        <f t="shared" si="30"/>
        <v>-0.04054424850065984</v>
      </c>
      <c r="F102" s="21">
        <f>+C102-108103</f>
        <v>112189</v>
      </c>
      <c r="G102" s="21">
        <f>D102-111376</f>
        <v>118225</v>
      </c>
      <c r="H102" s="23">
        <f t="shared" si="31"/>
        <v>-0.051055191372383166</v>
      </c>
      <c r="I102" s="24">
        <f t="shared" si="32"/>
        <v>28.297717393278013</v>
      </c>
      <c r="J102" s="24">
        <f t="shared" si="33"/>
        <v>55.564812593034965</v>
      </c>
      <c r="K102" s="21">
        <v>6233760.76</v>
      </c>
      <c r="L102" s="21">
        <v>6427224.37</v>
      </c>
      <c r="M102" s="25">
        <f t="shared" si="34"/>
        <v>-0.030100646696421512</v>
      </c>
      <c r="N102" s="10"/>
      <c r="R102" s="2"/>
    </row>
    <row r="103" spans="1:18" ht="15.75">
      <c r="A103" s="19"/>
      <c r="B103" s="20">
        <f>DATE(2013,11,1)</f>
        <v>41579</v>
      </c>
      <c r="C103" s="21">
        <v>207358</v>
      </c>
      <c r="D103" s="21">
        <v>229725</v>
      </c>
      <c r="E103" s="23">
        <f t="shared" si="30"/>
        <v>-0.09736423985199695</v>
      </c>
      <c r="F103" s="21">
        <f>+C103-102857</f>
        <v>104501</v>
      </c>
      <c r="G103" s="21">
        <f>+D103-107065</f>
        <v>122660</v>
      </c>
      <c r="H103" s="23">
        <f t="shared" si="31"/>
        <v>-0.1480433719223871</v>
      </c>
      <c r="I103" s="24">
        <f t="shared" si="32"/>
        <v>29.061613296810346</v>
      </c>
      <c r="J103" s="24">
        <f t="shared" si="33"/>
        <v>57.66603199969378</v>
      </c>
      <c r="K103" s="21">
        <v>6026158.01</v>
      </c>
      <c r="L103" s="21">
        <v>6348235.44</v>
      </c>
      <c r="M103" s="25">
        <f t="shared" si="34"/>
        <v>-0.05073495352276988</v>
      </c>
      <c r="N103" s="10"/>
      <c r="R103" s="2"/>
    </row>
    <row r="104" spans="1:18" ht="15.75">
      <c r="A104" s="19"/>
      <c r="B104" s="20">
        <f>DATE(2013,12,1)</f>
        <v>41609</v>
      </c>
      <c r="C104" s="21">
        <v>191095</v>
      </c>
      <c r="D104" s="21">
        <v>234384</v>
      </c>
      <c r="E104" s="23">
        <f t="shared" si="30"/>
        <v>-0.18469264113591372</v>
      </c>
      <c r="F104" s="21">
        <f>+C104-95885</f>
        <v>95210</v>
      </c>
      <c r="G104" s="21">
        <f>+D104-110998</f>
        <v>123386</v>
      </c>
      <c r="H104" s="23">
        <f t="shared" si="31"/>
        <v>-0.22835653963982946</v>
      </c>
      <c r="I104" s="24">
        <f t="shared" si="32"/>
        <v>29.418206232502158</v>
      </c>
      <c r="J104" s="24">
        <f t="shared" si="33"/>
        <v>59.0449755277807</v>
      </c>
      <c r="K104" s="21">
        <v>5621672.12</v>
      </c>
      <c r="L104" s="21">
        <v>6483321.5</v>
      </c>
      <c r="M104" s="25">
        <f t="shared" si="34"/>
        <v>-0.13290246056747299</v>
      </c>
      <c r="N104" s="10"/>
      <c r="R104" s="2"/>
    </row>
    <row r="105" spans="1:18" ht="15.75">
      <c r="A105" s="19"/>
      <c r="B105" s="20">
        <f>DATE(2014,1,1)</f>
        <v>41640</v>
      </c>
      <c r="C105" s="21">
        <v>193382</v>
      </c>
      <c r="D105" s="21">
        <v>217405</v>
      </c>
      <c r="E105" s="23">
        <f t="shared" si="30"/>
        <v>-0.11049883857316989</v>
      </c>
      <c r="F105" s="21">
        <f>+C105-96118</f>
        <v>97264</v>
      </c>
      <c r="G105" s="21">
        <f>+D105-104390</f>
        <v>113015</v>
      </c>
      <c r="H105" s="23">
        <f t="shared" si="31"/>
        <v>-0.13937087997168518</v>
      </c>
      <c r="I105" s="24">
        <f t="shared" si="32"/>
        <v>28.673811109617237</v>
      </c>
      <c r="J105" s="24">
        <f t="shared" si="33"/>
        <v>57.009776895871035</v>
      </c>
      <c r="K105" s="21">
        <v>5544998.94</v>
      </c>
      <c r="L105" s="21">
        <v>6132963.34</v>
      </c>
      <c r="M105" s="25">
        <f t="shared" si="34"/>
        <v>-0.09586954419981898</v>
      </c>
      <c r="N105" s="10"/>
      <c r="R105" s="2"/>
    </row>
    <row r="106" spans="1:18" ht="15.75">
      <c r="A106" s="19"/>
      <c r="B106" s="20">
        <f>DATE(2014,2,1)</f>
        <v>41671</v>
      </c>
      <c r="C106" s="21">
        <v>217031</v>
      </c>
      <c r="D106" s="21">
        <v>222437</v>
      </c>
      <c r="E106" s="23">
        <f t="shared" si="30"/>
        <v>-0.024303510656950057</v>
      </c>
      <c r="F106" s="21">
        <f>+C106-114289</f>
        <v>102742</v>
      </c>
      <c r="G106" s="21">
        <f>+D106-111181</f>
        <v>111256</v>
      </c>
      <c r="H106" s="23">
        <f t="shared" si="31"/>
        <v>-0.0765262098223916</v>
      </c>
      <c r="I106" s="24">
        <f t="shared" si="32"/>
        <v>29.088176527777136</v>
      </c>
      <c r="J106" s="24">
        <f t="shared" si="33"/>
        <v>61.44552412839929</v>
      </c>
      <c r="K106" s="21">
        <v>6313036.04</v>
      </c>
      <c r="L106" s="21">
        <v>6491167.17</v>
      </c>
      <c r="M106" s="25">
        <f t="shared" si="34"/>
        <v>-0.027442080189101013</v>
      </c>
      <c r="N106" s="10"/>
      <c r="R106" s="2"/>
    </row>
    <row r="107" spans="1:18" ht="15.75">
      <c r="A107" s="19"/>
      <c r="B107" s="20">
        <f>DATE(2014,3,1)</f>
        <v>41699</v>
      </c>
      <c r="C107" s="21">
        <v>247052</v>
      </c>
      <c r="D107" s="21">
        <v>252918</v>
      </c>
      <c r="E107" s="23">
        <f t="shared" si="30"/>
        <v>-0.023193287943127812</v>
      </c>
      <c r="F107" s="21">
        <f>+C107-126139</f>
        <v>120913</v>
      </c>
      <c r="G107" s="21">
        <f>+D107-126831</f>
        <v>126087</v>
      </c>
      <c r="H107" s="23">
        <f t="shared" si="31"/>
        <v>-0.04103515826373853</v>
      </c>
      <c r="I107" s="24">
        <f t="shared" si="32"/>
        <v>30.48343275909525</v>
      </c>
      <c r="J107" s="24">
        <f t="shared" si="33"/>
        <v>62.284394812799285</v>
      </c>
      <c r="K107" s="21">
        <v>7530993.03</v>
      </c>
      <c r="L107" s="21">
        <v>7460200.56</v>
      </c>
      <c r="M107" s="25">
        <f t="shared" si="34"/>
        <v>0.009489352120045506</v>
      </c>
      <c r="N107" s="10"/>
      <c r="R107" s="2"/>
    </row>
    <row r="108" spans="1:18" ht="15.75">
      <c r="A108" s="19"/>
      <c r="B108" s="20">
        <f>DATE(2014,4,1)</f>
        <v>41730</v>
      </c>
      <c r="C108" s="21">
        <v>216083</v>
      </c>
      <c r="D108" s="21">
        <v>237078</v>
      </c>
      <c r="E108" s="23">
        <f t="shared" si="30"/>
        <v>-0.08855735243253275</v>
      </c>
      <c r="F108" s="21">
        <f>+C108-109959</f>
        <v>106124</v>
      </c>
      <c r="G108" s="21">
        <f>+D108-113512</f>
        <v>123566</v>
      </c>
      <c r="H108" s="23">
        <f t="shared" si="31"/>
        <v>-0.14115533399155109</v>
      </c>
      <c r="I108" s="24">
        <f t="shared" si="32"/>
        <v>29.32862700906596</v>
      </c>
      <c r="J108" s="24">
        <f t="shared" si="33"/>
        <v>59.717101786589275</v>
      </c>
      <c r="K108" s="21">
        <v>6337417.71</v>
      </c>
      <c r="L108" s="21">
        <v>6839685.08</v>
      </c>
      <c r="M108" s="25">
        <f t="shared" si="34"/>
        <v>-0.07343428302988478</v>
      </c>
      <c r="N108" s="10"/>
      <c r="R108" s="2"/>
    </row>
    <row r="109" spans="1:18" ht="15.75">
      <c r="A109" s="19"/>
      <c r="B109" s="20">
        <f>DATE(2014,5,1)</f>
        <v>41760</v>
      </c>
      <c r="C109" s="21">
        <v>239632</v>
      </c>
      <c r="D109" s="21">
        <v>247896</v>
      </c>
      <c r="E109" s="23">
        <f t="shared" si="30"/>
        <v>-0.03333656049311001</v>
      </c>
      <c r="F109" s="21">
        <f>+C109-126196</f>
        <v>113436</v>
      </c>
      <c r="G109" s="21">
        <f>+D109-117834</f>
        <v>130062</v>
      </c>
      <c r="H109" s="23">
        <f t="shared" si="31"/>
        <v>-0.12783134197536558</v>
      </c>
      <c r="I109" s="24">
        <f t="shared" si="32"/>
        <v>27.380613231955667</v>
      </c>
      <c r="J109" s="24">
        <f t="shared" si="33"/>
        <v>57.84117132127367</v>
      </c>
      <c r="K109" s="21">
        <v>6561271.11</v>
      </c>
      <c r="L109" s="21">
        <v>7097593.44</v>
      </c>
      <c r="M109" s="25">
        <f t="shared" si="34"/>
        <v>-0.0755639689049307</v>
      </c>
      <c r="N109" s="10"/>
      <c r="R109" s="2"/>
    </row>
    <row r="110" spans="1:18" ht="15.75">
      <c r="A110" s="19"/>
      <c r="B110" s="20">
        <f>DATE(2014,6,1)</f>
        <v>41791</v>
      </c>
      <c r="C110" s="21">
        <v>240999</v>
      </c>
      <c r="D110" s="21">
        <v>235833</v>
      </c>
      <c r="E110" s="23">
        <f t="shared" si="30"/>
        <v>0.021905331314955923</v>
      </c>
      <c r="F110" s="21">
        <f>+C110-131707</f>
        <v>109292</v>
      </c>
      <c r="G110" s="21">
        <f>+D110-111435</f>
        <v>124398</v>
      </c>
      <c r="H110" s="23">
        <f t="shared" si="31"/>
        <v>-0.1214328204633515</v>
      </c>
      <c r="I110" s="24">
        <f t="shared" si="32"/>
        <v>25.6032978560077</v>
      </c>
      <c r="J110" s="24">
        <f t="shared" si="33"/>
        <v>56.457647220290596</v>
      </c>
      <c r="K110" s="21">
        <v>6170369.18</v>
      </c>
      <c r="L110" s="21">
        <v>6660556.87</v>
      </c>
      <c r="M110" s="25">
        <f t="shared" si="34"/>
        <v>-0.07359560162422281</v>
      </c>
      <c r="N110" s="10"/>
      <c r="R110" s="2"/>
    </row>
    <row r="111" spans="1:18" ht="15.75" customHeight="1" thickBot="1">
      <c r="A111" s="19"/>
      <c r="B111" s="45"/>
      <c r="C111" s="21"/>
      <c r="D111" s="21"/>
      <c r="E111" s="23"/>
      <c r="F111" s="21"/>
      <c r="G111" s="21"/>
      <c r="H111" s="23"/>
      <c r="I111" s="24"/>
      <c r="J111" s="24"/>
      <c r="K111" s="21"/>
      <c r="L111" s="21"/>
      <c r="M111" s="25"/>
      <c r="N111" s="10"/>
      <c r="R111" s="2"/>
    </row>
    <row r="112" spans="1:18" ht="17.25" customHeight="1" thickBot="1" thickTop="1">
      <c r="A112" s="39" t="s">
        <v>14</v>
      </c>
      <c r="B112" s="52"/>
      <c r="C112" s="47">
        <f>SUM(C99:C111)</f>
        <v>2677599</v>
      </c>
      <c r="D112" s="48">
        <f>SUM(D99:D111)</f>
        <v>2853325</v>
      </c>
      <c r="E112" s="287">
        <f>(+C112-D112)/D112</f>
        <v>-0.06158639482007833</v>
      </c>
      <c r="F112" s="48">
        <f>SUM(F99:F111)</f>
        <v>1330439</v>
      </c>
      <c r="G112" s="47">
        <f>SUM(G99:G111)</f>
        <v>1466678</v>
      </c>
      <c r="H112" s="53">
        <f>(+F112-G112)/G112</f>
        <v>-0.09288950949015394</v>
      </c>
      <c r="I112" s="51">
        <f>K112/C112</f>
        <v>28.224972406249027</v>
      </c>
      <c r="J112" s="50">
        <f>K112/F112</f>
        <v>56.804677170467784</v>
      </c>
      <c r="K112" s="47">
        <f>SUM(K99:K111)</f>
        <v>75575157.88999999</v>
      </c>
      <c r="L112" s="48">
        <f>SUM(L99:L111)</f>
        <v>79855786.37</v>
      </c>
      <c r="M112" s="44">
        <f>(+K112-L112)/L112</f>
        <v>-0.05360448722108074</v>
      </c>
      <c r="N112" s="10"/>
      <c r="R112" s="2"/>
    </row>
    <row r="113" spans="1:18" ht="15.75" customHeight="1" thickTop="1">
      <c r="A113" s="19"/>
      <c r="B113" s="45"/>
      <c r="C113" s="21"/>
      <c r="D113" s="21"/>
      <c r="E113" s="23"/>
      <c r="F113" s="21"/>
      <c r="G113" s="21"/>
      <c r="H113" s="23"/>
      <c r="I113" s="24"/>
      <c r="J113" s="24"/>
      <c r="K113" s="21"/>
      <c r="L113" s="21"/>
      <c r="M113" s="25"/>
      <c r="N113" s="10"/>
      <c r="R113" s="2"/>
    </row>
    <row r="114" spans="1:18" ht="15.75" customHeight="1">
      <c r="A114" s="19" t="s">
        <v>76</v>
      </c>
      <c r="B114" s="20">
        <f>DATE(2013,7,1)</f>
        <v>41456</v>
      </c>
      <c r="C114" s="21">
        <v>376879</v>
      </c>
      <c r="D114" s="21">
        <v>480431</v>
      </c>
      <c r="E114" s="23">
        <f aca="true" t="shared" si="35" ref="E114:E125">(+C114-D114)/D114</f>
        <v>-0.21553979655767425</v>
      </c>
      <c r="F114" s="21">
        <f>+C114-189072</f>
        <v>187807</v>
      </c>
      <c r="G114" s="21">
        <f>+D114-242307</f>
        <v>238124</v>
      </c>
      <c r="H114" s="23">
        <f aca="true" t="shared" si="36" ref="H114:H125">(+F114-G114)/G114</f>
        <v>-0.21130587425039055</v>
      </c>
      <c r="I114" s="24">
        <f aca="true" t="shared" si="37" ref="I114:I125">K114/C114</f>
        <v>30.16620095574442</v>
      </c>
      <c r="J114" s="24">
        <f aca="true" t="shared" si="38" ref="J114:J125">K114/F114</f>
        <v>60.5355905264447</v>
      </c>
      <c r="K114" s="21">
        <v>11369007.65</v>
      </c>
      <c r="L114" s="21">
        <v>13835520.02</v>
      </c>
      <c r="M114" s="25">
        <f aca="true" t="shared" si="39" ref="M114:M125">(+K114-L114)/L114</f>
        <v>-0.1782739186119872</v>
      </c>
      <c r="N114" s="10"/>
      <c r="R114" s="2"/>
    </row>
    <row r="115" spans="1:18" ht="15.75" customHeight="1">
      <c r="A115" s="19"/>
      <c r="B115" s="20">
        <f>DATE(2013,8,1)</f>
        <v>41487</v>
      </c>
      <c r="C115" s="21">
        <v>399184</v>
      </c>
      <c r="D115" s="21">
        <v>464443</v>
      </c>
      <c r="E115" s="23">
        <f t="shared" si="35"/>
        <v>-0.140510245606027</v>
      </c>
      <c r="F115" s="21">
        <f>+C115-197151</f>
        <v>202033</v>
      </c>
      <c r="G115" s="21">
        <f>+D115-232764</f>
        <v>231679</v>
      </c>
      <c r="H115" s="23">
        <f t="shared" si="36"/>
        <v>-0.12796153298313614</v>
      </c>
      <c r="I115" s="24">
        <f t="shared" si="37"/>
        <v>32.02187600204417</v>
      </c>
      <c r="J115" s="24">
        <f t="shared" si="38"/>
        <v>63.26996357030782</v>
      </c>
      <c r="K115" s="21">
        <v>12782620.55</v>
      </c>
      <c r="L115" s="21">
        <v>13814431.77</v>
      </c>
      <c r="M115" s="25">
        <f t="shared" si="39"/>
        <v>-0.0746908187885602</v>
      </c>
      <c r="N115" s="10"/>
      <c r="R115" s="2"/>
    </row>
    <row r="116" spans="1:18" ht="15.75" customHeight="1">
      <c r="A116" s="19"/>
      <c r="B116" s="20">
        <f>DATE(2013,9,1)</f>
        <v>41518</v>
      </c>
      <c r="C116" s="21">
        <v>372710</v>
      </c>
      <c r="D116" s="21">
        <v>436431</v>
      </c>
      <c r="E116" s="23">
        <f t="shared" si="35"/>
        <v>-0.1460047521830484</v>
      </c>
      <c r="F116" s="21">
        <f>C116-184970</f>
        <v>187740</v>
      </c>
      <c r="G116" s="21">
        <f>D116-217832</f>
        <v>218599</v>
      </c>
      <c r="H116" s="23">
        <f t="shared" si="36"/>
        <v>-0.14116715995956067</v>
      </c>
      <c r="I116" s="24">
        <f t="shared" si="37"/>
        <v>31.73412296423493</v>
      </c>
      <c r="J116" s="24">
        <f t="shared" si="38"/>
        <v>63.00002647278151</v>
      </c>
      <c r="K116" s="21">
        <v>11827624.97</v>
      </c>
      <c r="L116" s="21">
        <v>13217900.95</v>
      </c>
      <c r="M116" s="25">
        <f t="shared" si="39"/>
        <v>-0.10518129809408193</v>
      </c>
      <c r="N116" s="10"/>
      <c r="R116" s="2"/>
    </row>
    <row r="117" spans="1:18" ht="15.75" customHeight="1">
      <c r="A117" s="19"/>
      <c r="B117" s="20">
        <f>DATE(2013,10,1)</f>
        <v>41548</v>
      </c>
      <c r="C117" s="21">
        <v>357387</v>
      </c>
      <c r="D117" s="21">
        <v>413866</v>
      </c>
      <c r="E117" s="23">
        <f t="shared" si="35"/>
        <v>-0.13646687575205502</v>
      </c>
      <c r="F117" s="21">
        <f>C117-179117</f>
        <v>178270</v>
      </c>
      <c r="G117" s="21">
        <f>D117-208856</f>
        <v>205010</v>
      </c>
      <c r="H117" s="23">
        <f t="shared" si="36"/>
        <v>-0.13043266182137456</v>
      </c>
      <c r="I117" s="24">
        <f t="shared" si="37"/>
        <v>34.161442917621514</v>
      </c>
      <c r="J117" s="24">
        <f t="shared" si="38"/>
        <v>68.48519436809335</v>
      </c>
      <c r="K117" s="21">
        <v>12208855.6</v>
      </c>
      <c r="L117" s="21">
        <v>13289415.43</v>
      </c>
      <c r="M117" s="25">
        <f t="shared" si="39"/>
        <v>-0.08130980897479552</v>
      </c>
      <c r="N117" s="10"/>
      <c r="R117" s="2"/>
    </row>
    <row r="118" spans="1:18" ht="15.75" customHeight="1">
      <c r="A118" s="19"/>
      <c r="B118" s="20">
        <f>DATE(2013,11,1)</f>
        <v>41579</v>
      </c>
      <c r="C118" s="21">
        <v>379613</v>
      </c>
      <c r="D118" s="21">
        <v>398876</v>
      </c>
      <c r="E118" s="23">
        <f t="shared" si="35"/>
        <v>-0.04829320390296734</v>
      </c>
      <c r="F118" s="21">
        <f>+C118-192885</f>
        <v>186728</v>
      </c>
      <c r="G118" s="21">
        <f>+D118-204398</f>
        <v>194478</v>
      </c>
      <c r="H118" s="23">
        <f t="shared" si="36"/>
        <v>-0.039850265839837924</v>
      </c>
      <c r="I118" s="24">
        <f t="shared" si="37"/>
        <v>29.806363032878224</v>
      </c>
      <c r="J118" s="24">
        <f t="shared" si="38"/>
        <v>60.595534092369654</v>
      </c>
      <c r="K118" s="21">
        <v>11314882.89</v>
      </c>
      <c r="L118" s="21">
        <v>12992125.2</v>
      </c>
      <c r="M118" s="25">
        <f t="shared" si="39"/>
        <v>-0.12909684013820916</v>
      </c>
      <c r="N118" s="10"/>
      <c r="R118" s="2"/>
    </row>
    <row r="119" spans="1:18" ht="15.75" customHeight="1">
      <c r="A119" s="19"/>
      <c r="B119" s="20">
        <f>DATE(2013,12,1)</f>
        <v>41609</v>
      </c>
      <c r="C119" s="21">
        <v>363921</v>
      </c>
      <c r="D119" s="21">
        <v>423904</v>
      </c>
      <c r="E119" s="23">
        <f t="shared" si="35"/>
        <v>-0.14150137767041596</v>
      </c>
      <c r="F119" s="21">
        <f>+C119-187467</f>
        <v>176454</v>
      </c>
      <c r="G119" s="21">
        <f>+D119-218524</f>
        <v>205380</v>
      </c>
      <c r="H119" s="23">
        <f t="shared" si="36"/>
        <v>-0.14084136722173532</v>
      </c>
      <c r="I119" s="24">
        <f t="shared" si="37"/>
        <v>33.1835854210117</v>
      </c>
      <c r="J119" s="24">
        <f t="shared" si="38"/>
        <v>68.43825353916601</v>
      </c>
      <c r="K119" s="21">
        <v>12076203.59</v>
      </c>
      <c r="L119" s="21">
        <v>13376607.72</v>
      </c>
      <c r="M119" s="25">
        <f t="shared" si="39"/>
        <v>-0.09721479146433404</v>
      </c>
      <c r="N119" s="10"/>
      <c r="R119" s="2"/>
    </row>
    <row r="120" spans="1:18" ht="15.75" customHeight="1">
      <c r="A120" s="19"/>
      <c r="B120" s="20">
        <f>DATE(2014,1,1)</f>
        <v>41640</v>
      </c>
      <c r="C120" s="21">
        <v>329681</v>
      </c>
      <c r="D120" s="21">
        <v>368958</v>
      </c>
      <c r="E120" s="23">
        <f t="shared" si="35"/>
        <v>-0.10645385111584517</v>
      </c>
      <c r="F120" s="21">
        <f>+C120-172089</f>
        <v>157592</v>
      </c>
      <c r="G120" s="21">
        <f>+D120-190073</f>
        <v>178885</v>
      </c>
      <c r="H120" s="23">
        <f t="shared" si="36"/>
        <v>-0.11903178019397938</v>
      </c>
      <c r="I120" s="24">
        <f t="shared" si="37"/>
        <v>31.32826083395767</v>
      </c>
      <c r="J120" s="24">
        <f t="shared" si="38"/>
        <v>65.53843063099649</v>
      </c>
      <c r="K120" s="21">
        <v>10328332.36</v>
      </c>
      <c r="L120" s="21">
        <v>11989467.05</v>
      </c>
      <c r="M120" s="25">
        <f t="shared" si="39"/>
        <v>-0.13854950208149588</v>
      </c>
      <c r="N120" s="10"/>
      <c r="R120" s="2"/>
    </row>
    <row r="121" spans="1:18" ht="15.75" customHeight="1">
      <c r="A121" s="19"/>
      <c r="B121" s="20">
        <f>DATE(2014,2,1)</f>
        <v>41671</v>
      </c>
      <c r="C121" s="21">
        <v>374288</v>
      </c>
      <c r="D121" s="21">
        <v>413371</v>
      </c>
      <c r="E121" s="23">
        <f t="shared" si="35"/>
        <v>-0.09454702918201809</v>
      </c>
      <c r="F121" s="21">
        <f>+C121-195787</f>
        <v>178501</v>
      </c>
      <c r="G121" s="21">
        <f>+D121-212026</f>
        <v>201345</v>
      </c>
      <c r="H121" s="23">
        <f t="shared" si="36"/>
        <v>-0.11345700166381087</v>
      </c>
      <c r="I121" s="24">
        <f t="shared" si="37"/>
        <v>32.785610358868034</v>
      </c>
      <c r="J121" s="24">
        <f t="shared" si="38"/>
        <v>68.74617245841759</v>
      </c>
      <c r="K121" s="21">
        <v>12271260.53</v>
      </c>
      <c r="L121" s="21">
        <v>13893273.65</v>
      </c>
      <c r="M121" s="25">
        <f t="shared" si="39"/>
        <v>-0.11674808694205782</v>
      </c>
      <c r="N121" s="10"/>
      <c r="R121" s="2"/>
    </row>
    <row r="122" spans="1:18" ht="15.75" customHeight="1">
      <c r="A122" s="19"/>
      <c r="B122" s="20">
        <f>DATE(2014,3,1)</f>
        <v>41699</v>
      </c>
      <c r="C122" s="21">
        <v>435105</v>
      </c>
      <c r="D122" s="21">
        <v>443995</v>
      </c>
      <c r="E122" s="23">
        <f t="shared" si="35"/>
        <v>-0.020022748003918962</v>
      </c>
      <c r="F122" s="21">
        <f>+C122-229636</f>
        <v>205469</v>
      </c>
      <c r="G122" s="21">
        <f>+D122-229812</f>
        <v>214183</v>
      </c>
      <c r="H122" s="23">
        <f t="shared" si="36"/>
        <v>-0.040684834930876865</v>
      </c>
      <c r="I122" s="24">
        <f t="shared" si="37"/>
        <v>30.112844623711517</v>
      </c>
      <c r="J122" s="24">
        <f t="shared" si="38"/>
        <v>63.76752337335559</v>
      </c>
      <c r="K122" s="21">
        <v>13102249.26</v>
      </c>
      <c r="L122" s="21">
        <v>14961646.81</v>
      </c>
      <c r="M122" s="25">
        <f t="shared" si="39"/>
        <v>-0.12427759949240512</v>
      </c>
      <c r="N122" s="10"/>
      <c r="R122" s="2"/>
    </row>
    <row r="123" spans="1:18" ht="15.75" customHeight="1">
      <c r="A123" s="19"/>
      <c r="B123" s="20">
        <f>DATE(2014,4,1)</f>
        <v>41730</v>
      </c>
      <c r="C123" s="21">
        <v>364621</v>
      </c>
      <c r="D123" s="21">
        <v>385105</v>
      </c>
      <c r="E123" s="23">
        <f t="shared" si="35"/>
        <v>-0.05319068825385285</v>
      </c>
      <c r="F123" s="21">
        <f>+C123-184766</f>
        <v>179855</v>
      </c>
      <c r="G123" s="21">
        <f>+D123-195617</f>
        <v>189488</v>
      </c>
      <c r="H123" s="23">
        <f t="shared" si="36"/>
        <v>-0.050836992316136115</v>
      </c>
      <c r="I123" s="24">
        <f t="shared" si="37"/>
        <v>30.48376270154489</v>
      </c>
      <c r="J123" s="24">
        <f t="shared" si="38"/>
        <v>61.7998945817464</v>
      </c>
      <c r="K123" s="21">
        <v>11115020.04</v>
      </c>
      <c r="L123" s="21">
        <v>12950622.18</v>
      </c>
      <c r="M123" s="25">
        <f t="shared" si="39"/>
        <v>-0.1417385291986026</v>
      </c>
      <c r="N123" s="10"/>
      <c r="R123" s="2"/>
    </row>
    <row r="124" spans="1:18" ht="15.75" customHeight="1">
      <c r="A124" s="19"/>
      <c r="B124" s="20">
        <f>DATE(2014,5,1)</f>
        <v>41760</v>
      </c>
      <c r="C124" s="21">
        <v>463093</v>
      </c>
      <c r="D124" s="21">
        <v>404684</v>
      </c>
      <c r="E124" s="23">
        <f t="shared" si="35"/>
        <v>0.1443323679710589</v>
      </c>
      <c r="F124" s="21">
        <f>+C124-226940</f>
        <v>236153</v>
      </c>
      <c r="G124" s="21">
        <f>+D124-204269</f>
        <v>200415</v>
      </c>
      <c r="H124" s="23">
        <f t="shared" si="36"/>
        <v>0.17831998602898985</v>
      </c>
      <c r="I124" s="24">
        <f t="shared" si="37"/>
        <v>30.599362655017458</v>
      </c>
      <c r="J124" s="24">
        <f t="shared" si="38"/>
        <v>60.004957167598974</v>
      </c>
      <c r="K124" s="21">
        <v>14170350.65</v>
      </c>
      <c r="L124" s="21">
        <v>13543661.31</v>
      </c>
      <c r="M124" s="25">
        <f t="shared" si="39"/>
        <v>0.04627178173285255</v>
      </c>
      <c r="N124" s="10"/>
      <c r="R124" s="2"/>
    </row>
    <row r="125" spans="1:18" ht="15.75" customHeight="1">
      <c r="A125" s="19"/>
      <c r="B125" s="20">
        <f>DATE(2014,6,1)</f>
        <v>41791</v>
      </c>
      <c r="C125" s="21">
        <v>400534</v>
      </c>
      <c r="D125" s="21">
        <v>395609</v>
      </c>
      <c r="E125" s="23">
        <f t="shared" si="35"/>
        <v>0.01244916066115786</v>
      </c>
      <c r="F125" s="21">
        <f>+C125-195905</f>
        <v>204629</v>
      </c>
      <c r="G125" s="21">
        <f>+D125-200391</f>
        <v>195218</v>
      </c>
      <c r="H125" s="23">
        <f t="shared" si="36"/>
        <v>0.04820764478685367</v>
      </c>
      <c r="I125" s="24">
        <f t="shared" si="37"/>
        <v>31.125836233628107</v>
      </c>
      <c r="J125" s="24">
        <f t="shared" si="38"/>
        <v>60.9246768053404</v>
      </c>
      <c r="K125" s="21">
        <v>12466955.69</v>
      </c>
      <c r="L125" s="21">
        <v>12465441.07</v>
      </c>
      <c r="M125" s="25">
        <f t="shared" si="39"/>
        <v>0.0001215055280831054</v>
      </c>
      <c r="N125" s="10"/>
      <c r="R125" s="2"/>
    </row>
    <row r="126" spans="1:18" ht="15.75" customHeight="1" thickBot="1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Bot="1" thickTop="1">
      <c r="A127" s="39" t="s">
        <v>14</v>
      </c>
      <c r="B127" s="40"/>
      <c r="C127" s="41">
        <f>SUM(C114:C126)</f>
        <v>4617016</v>
      </c>
      <c r="D127" s="41">
        <f>SUM(D114:D126)</f>
        <v>5029673</v>
      </c>
      <c r="E127" s="286">
        <f>(+C127-D127)/D127</f>
        <v>-0.0820444987179087</v>
      </c>
      <c r="F127" s="41">
        <f>SUM(F114:F126)</f>
        <v>2281231</v>
      </c>
      <c r="G127" s="41">
        <f>SUM(G114:G126)</f>
        <v>2472804</v>
      </c>
      <c r="H127" s="42">
        <f>(+F127-G127)/G127</f>
        <v>-0.07747197109030882</v>
      </c>
      <c r="I127" s="43">
        <f>K127/C127</f>
        <v>31.412792110748587</v>
      </c>
      <c r="J127" s="43">
        <f>K127/F127</f>
        <v>63.57679857059632</v>
      </c>
      <c r="K127" s="41">
        <f>SUM(K114:K126)</f>
        <v>145033363.78</v>
      </c>
      <c r="L127" s="41">
        <f>SUM(L114:L126)</f>
        <v>160330113.16</v>
      </c>
      <c r="M127" s="44">
        <f>(+K127-L127)/L127</f>
        <v>-0.09540783748299823</v>
      </c>
      <c r="N127" s="10"/>
      <c r="R127" s="2"/>
    </row>
    <row r="128" spans="1:18" ht="15.75" customHeight="1" thickTop="1">
      <c r="A128" s="54"/>
      <c r="B128" s="55"/>
      <c r="C128" s="55"/>
      <c r="D128" s="55"/>
      <c r="E128" s="56"/>
      <c r="F128" s="55"/>
      <c r="G128" s="55"/>
      <c r="H128" s="56"/>
      <c r="I128" s="55"/>
      <c r="J128" s="55"/>
      <c r="K128" s="196"/>
      <c r="L128" s="196"/>
      <c r="M128" s="57"/>
      <c r="N128" s="10"/>
      <c r="R128" s="2"/>
    </row>
    <row r="129" spans="1:18" ht="15.75" customHeight="1">
      <c r="A129" s="19" t="s">
        <v>18</v>
      </c>
      <c r="B129" s="20">
        <f>DATE(2013,7,1)</f>
        <v>41456</v>
      </c>
      <c r="C129" s="21">
        <v>502822</v>
      </c>
      <c r="D129" s="21">
        <v>562251</v>
      </c>
      <c r="E129" s="23">
        <f aca="true" t="shared" si="40" ref="E129:E140">(+C129-D129)/D129</f>
        <v>-0.10569834468947142</v>
      </c>
      <c r="F129" s="21">
        <f>+C129-253388</f>
        <v>249434</v>
      </c>
      <c r="G129" s="21">
        <f>+D129-288730</f>
        <v>273521</v>
      </c>
      <c r="H129" s="23">
        <f aca="true" t="shared" si="41" ref="H129:H140">(+F129-G129)/G129</f>
        <v>-0.08806270816500378</v>
      </c>
      <c r="I129" s="24">
        <f aca="true" t="shared" si="42" ref="I129:I140">K129/C129</f>
        <v>34.33326459462792</v>
      </c>
      <c r="J129" s="24">
        <f aca="true" t="shared" si="43" ref="J129:J140">K129/F129</f>
        <v>69.21077627749224</v>
      </c>
      <c r="K129" s="21">
        <v>17263520.77</v>
      </c>
      <c r="L129" s="21">
        <v>19122467.54</v>
      </c>
      <c r="M129" s="25">
        <f aca="true" t="shared" si="44" ref="M129:M140">(+K129-L129)/L129</f>
        <v>-0.09721270364880952</v>
      </c>
      <c r="N129" s="10"/>
      <c r="R129" s="2"/>
    </row>
    <row r="130" spans="1:18" ht="15.75" customHeight="1">
      <c r="A130" s="19"/>
      <c r="B130" s="20">
        <f>DATE(2013,8,1)</f>
        <v>41487</v>
      </c>
      <c r="C130" s="21">
        <v>566727</v>
      </c>
      <c r="D130" s="21">
        <v>549909</v>
      </c>
      <c r="E130" s="23">
        <f t="shared" si="40"/>
        <v>0.030583241954577938</v>
      </c>
      <c r="F130" s="21">
        <f>+C130-280832</f>
        <v>285895</v>
      </c>
      <c r="G130" s="21">
        <f>+D130-281796</f>
        <v>268113</v>
      </c>
      <c r="H130" s="23">
        <f t="shared" si="41"/>
        <v>0.06632278181214638</v>
      </c>
      <c r="I130" s="24">
        <f t="shared" si="42"/>
        <v>31.781609663912256</v>
      </c>
      <c r="J130" s="24">
        <f t="shared" si="43"/>
        <v>63.000389303765374</v>
      </c>
      <c r="K130" s="21">
        <v>18011496.3</v>
      </c>
      <c r="L130" s="21">
        <v>17871456.18</v>
      </c>
      <c r="M130" s="25">
        <f t="shared" si="44"/>
        <v>0.007835965832304162</v>
      </c>
      <c r="N130" s="10"/>
      <c r="R130" s="2"/>
    </row>
    <row r="131" spans="1:18" ht="15.75" customHeight="1">
      <c r="A131" s="19"/>
      <c r="B131" s="20">
        <f>DATE(2013,9,1)</f>
        <v>41518</v>
      </c>
      <c r="C131" s="21">
        <v>471960</v>
      </c>
      <c r="D131" s="21">
        <v>510632</v>
      </c>
      <c r="E131" s="23">
        <f t="shared" si="40"/>
        <v>-0.07573360071440881</v>
      </c>
      <c r="F131" s="21">
        <f>C131-238969</f>
        <v>232991</v>
      </c>
      <c r="G131" s="21">
        <f>D131-261020</f>
        <v>249612</v>
      </c>
      <c r="H131" s="23">
        <f t="shared" si="41"/>
        <v>-0.06658734355720078</v>
      </c>
      <c r="I131" s="24">
        <f t="shared" si="42"/>
        <v>33.61958540978049</v>
      </c>
      <c r="J131" s="24">
        <f t="shared" si="43"/>
        <v>68.10177015421196</v>
      </c>
      <c r="K131" s="21">
        <v>15867099.53</v>
      </c>
      <c r="L131" s="21">
        <v>17117772.6</v>
      </c>
      <c r="M131" s="25">
        <f t="shared" si="44"/>
        <v>-0.07306283937899737</v>
      </c>
      <c r="N131" s="10"/>
      <c r="R131" s="2"/>
    </row>
    <row r="132" spans="1:18" ht="15.75" customHeight="1">
      <c r="A132" s="19"/>
      <c r="B132" s="20">
        <f>DATE(2013,10,1)</f>
        <v>41548</v>
      </c>
      <c r="C132" s="21">
        <v>458275</v>
      </c>
      <c r="D132" s="21">
        <v>538961</v>
      </c>
      <c r="E132" s="23">
        <f t="shared" si="40"/>
        <v>-0.1497065650390288</v>
      </c>
      <c r="F132" s="21">
        <f>C132-236826</f>
        <v>221449</v>
      </c>
      <c r="G132" s="21">
        <f>D132-272124</f>
        <v>266837</v>
      </c>
      <c r="H132" s="23">
        <f t="shared" si="41"/>
        <v>-0.17009635095582695</v>
      </c>
      <c r="I132" s="24">
        <f t="shared" si="42"/>
        <v>35.29370714090884</v>
      </c>
      <c r="J132" s="24">
        <f t="shared" si="43"/>
        <v>73.03814259716684</v>
      </c>
      <c r="K132" s="21">
        <v>16174223.64</v>
      </c>
      <c r="L132" s="21">
        <v>17354595.37</v>
      </c>
      <c r="M132" s="25">
        <f t="shared" si="44"/>
        <v>-0.06801493810915629</v>
      </c>
      <c r="N132" s="10"/>
      <c r="R132" s="2"/>
    </row>
    <row r="133" spans="1:18" ht="15.75" customHeight="1">
      <c r="A133" s="19"/>
      <c r="B133" s="20">
        <f>DATE(2013,11,1)</f>
        <v>41579</v>
      </c>
      <c r="C133" s="21">
        <v>484130</v>
      </c>
      <c r="D133" s="21">
        <v>545984</v>
      </c>
      <c r="E133" s="23">
        <f t="shared" si="40"/>
        <v>-0.1132890341108897</v>
      </c>
      <c r="F133" s="21">
        <f>+C133-250719</f>
        <v>233411</v>
      </c>
      <c r="G133" s="21">
        <f>+D133-278133</f>
        <v>267851</v>
      </c>
      <c r="H133" s="23">
        <f t="shared" si="41"/>
        <v>-0.1285789487438912</v>
      </c>
      <c r="I133" s="24">
        <f t="shared" si="42"/>
        <v>33.93504579348522</v>
      </c>
      <c r="J133" s="24">
        <f t="shared" si="43"/>
        <v>70.38645873587792</v>
      </c>
      <c r="K133" s="21">
        <v>16428973.72</v>
      </c>
      <c r="L133" s="21">
        <v>18213394.84</v>
      </c>
      <c r="M133" s="25">
        <f t="shared" si="44"/>
        <v>-0.09797301028587371</v>
      </c>
      <c r="N133" s="10"/>
      <c r="R133" s="2"/>
    </row>
    <row r="134" spans="1:18" ht="15.75" customHeight="1">
      <c r="A134" s="19"/>
      <c r="B134" s="20">
        <f>DATE(2013,12,1)</f>
        <v>41609</v>
      </c>
      <c r="C134" s="21">
        <v>463390</v>
      </c>
      <c r="D134" s="21">
        <v>542239</v>
      </c>
      <c r="E134" s="23">
        <f t="shared" si="40"/>
        <v>-0.14541373822244436</v>
      </c>
      <c r="F134" s="21">
        <f>+C134-242237</f>
        <v>221153</v>
      </c>
      <c r="G134" s="21">
        <f>+D134-281055</f>
        <v>261184</v>
      </c>
      <c r="H134" s="23">
        <f t="shared" si="41"/>
        <v>-0.1532674283263906</v>
      </c>
      <c r="I134" s="24">
        <f t="shared" si="42"/>
        <v>33.92495051684327</v>
      </c>
      <c r="J134" s="24">
        <f t="shared" si="43"/>
        <v>71.08419429083033</v>
      </c>
      <c r="K134" s="21">
        <v>15720482.82</v>
      </c>
      <c r="L134" s="21">
        <v>18289957.54</v>
      </c>
      <c r="M134" s="25">
        <f t="shared" si="44"/>
        <v>-0.1404855486613666</v>
      </c>
      <c r="N134" s="10"/>
      <c r="R134" s="2"/>
    </row>
    <row r="135" spans="1:18" ht="15.75" customHeight="1">
      <c r="A135" s="19"/>
      <c r="B135" s="20">
        <f>DATE(2014,1,1)</f>
        <v>41640</v>
      </c>
      <c r="C135" s="21">
        <v>448379</v>
      </c>
      <c r="D135" s="21">
        <v>507171</v>
      </c>
      <c r="E135" s="23">
        <f t="shared" si="40"/>
        <v>-0.1159214544995672</v>
      </c>
      <c r="F135" s="21">
        <f>+C135-233235</f>
        <v>215144</v>
      </c>
      <c r="G135" s="21">
        <f>+D135-265189</f>
        <v>241982</v>
      </c>
      <c r="H135" s="23">
        <f t="shared" si="41"/>
        <v>-0.11090907588167714</v>
      </c>
      <c r="I135" s="24">
        <f t="shared" si="42"/>
        <v>33.9393729634974</v>
      </c>
      <c r="J135" s="24">
        <f t="shared" si="43"/>
        <v>70.73263539768713</v>
      </c>
      <c r="K135" s="21">
        <v>15217702.11</v>
      </c>
      <c r="L135" s="21">
        <v>16699297.73</v>
      </c>
      <c r="M135" s="25">
        <f t="shared" si="44"/>
        <v>-0.08872203154617335</v>
      </c>
      <c r="N135" s="10"/>
      <c r="R135" s="2"/>
    </row>
    <row r="136" spans="1:18" ht="15.75" customHeight="1">
      <c r="A136" s="19"/>
      <c r="B136" s="20">
        <f>DATE(2014,2,1)</f>
        <v>41671</v>
      </c>
      <c r="C136" s="21">
        <v>479368</v>
      </c>
      <c r="D136" s="21">
        <v>498430</v>
      </c>
      <c r="E136" s="23">
        <f t="shared" si="40"/>
        <v>-0.038244086431394576</v>
      </c>
      <c r="F136" s="21">
        <f>+C136-254287</f>
        <v>225081</v>
      </c>
      <c r="G136" s="21">
        <f>+D136-264955</f>
        <v>233475</v>
      </c>
      <c r="H136" s="23">
        <f t="shared" si="41"/>
        <v>-0.035952457436556375</v>
      </c>
      <c r="I136" s="24">
        <f t="shared" si="42"/>
        <v>33.26586682882462</v>
      </c>
      <c r="J136" s="24">
        <f t="shared" si="43"/>
        <v>70.84823707909597</v>
      </c>
      <c r="K136" s="21">
        <v>15946592.05</v>
      </c>
      <c r="L136" s="21">
        <v>16667359.07</v>
      </c>
      <c r="M136" s="25">
        <f t="shared" si="44"/>
        <v>-0.043244224653282134</v>
      </c>
      <c r="N136" s="10"/>
      <c r="R136" s="2"/>
    </row>
    <row r="137" spans="1:18" ht="15.75" customHeight="1">
      <c r="A137" s="19"/>
      <c r="B137" s="20">
        <f>DATE(2014,3,1)</f>
        <v>41699</v>
      </c>
      <c r="C137" s="21">
        <v>503197</v>
      </c>
      <c r="D137" s="21">
        <v>575995</v>
      </c>
      <c r="E137" s="23">
        <f t="shared" si="40"/>
        <v>-0.12638651377182095</v>
      </c>
      <c r="F137" s="21">
        <f>+C137-260557</f>
        <v>242640</v>
      </c>
      <c r="G137" s="21">
        <f>+D137-305631</f>
        <v>270364</v>
      </c>
      <c r="H137" s="23">
        <f t="shared" si="41"/>
        <v>-0.10254323800505985</v>
      </c>
      <c r="I137" s="24">
        <f t="shared" si="42"/>
        <v>34.96459607271109</v>
      </c>
      <c r="J137" s="24">
        <f t="shared" si="43"/>
        <v>72.51104455159908</v>
      </c>
      <c r="K137" s="21">
        <v>17594079.85</v>
      </c>
      <c r="L137" s="21">
        <v>19838241.2</v>
      </c>
      <c r="M137" s="25">
        <f t="shared" si="44"/>
        <v>-0.11312299953284154</v>
      </c>
      <c r="N137" s="10"/>
      <c r="R137" s="2"/>
    </row>
    <row r="138" spans="1:18" ht="15.75" customHeight="1">
      <c r="A138" s="19"/>
      <c r="B138" s="20">
        <f>DATE(2014,4,1)</f>
        <v>41730</v>
      </c>
      <c r="C138" s="21">
        <v>454504</v>
      </c>
      <c r="D138" s="21">
        <v>501136</v>
      </c>
      <c r="E138" s="23">
        <f t="shared" si="40"/>
        <v>-0.0930525845279525</v>
      </c>
      <c r="F138" s="21">
        <f>+C138-237181</f>
        <v>217323</v>
      </c>
      <c r="G138" s="21">
        <f>+D138-261576</f>
        <v>239560</v>
      </c>
      <c r="H138" s="23">
        <f t="shared" si="41"/>
        <v>-0.09282434463182501</v>
      </c>
      <c r="I138" s="24">
        <f t="shared" si="42"/>
        <v>35.31458306197525</v>
      </c>
      <c r="J138" s="24">
        <f t="shared" si="43"/>
        <v>73.85605416821966</v>
      </c>
      <c r="K138" s="21">
        <v>16050619.26</v>
      </c>
      <c r="L138" s="21">
        <v>17565015.06</v>
      </c>
      <c r="M138" s="25">
        <f t="shared" si="44"/>
        <v>-0.08621659559226127</v>
      </c>
      <c r="N138" s="10"/>
      <c r="R138" s="2"/>
    </row>
    <row r="139" spans="1:18" ht="15.75" customHeight="1">
      <c r="A139" s="19"/>
      <c r="B139" s="20">
        <f>DATE(2014,5,1)</f>
        <v>41760</v>
      </c>
      <c r="C139" s="21">
        <v>480000</v>
      </c>
      <c r="D139" s="21">
        <v>515587</v>
      </c>
      <c r="E139" s="23">
        <f t="shared" si="40"/>
        <v>-0.0690222988554793</v>
      </c>
      <c r="F139" s="21">
        <f>+C139-246974</f>
        <v>233026</v>
      </c>
      <c r="G139" s="21">
        <f>+D139-267589</f>
        <v>247998</v>
      </c>
      <c r="H139" s="23">
        <f t="shared" si="41"/>
        <v>-0.060371454608504904</v>
      </c>
      <c r="I139" s="24">
        <f t="shared" si="42"/>
        <v>36.276662125</v>
      </c>
      <c r="J139" s="24">
        <f t="shared" si="43"/>
        <v>74.724699475595</v>
      </c>
      <c r="K139" s="21">
        <v>17412797.82</v>
      </c>
      <c r="L139" s="21">
        <v>17820804.29</v>
      </c>
      <c r="M139" s="25">
        <f t="shared" si="44"/>
        <v>-0.022894952627303605</v>
      </c>
      <c r="N139" s="10"/>
      <c r="R139" s="2"/>
    </row>
    <row r="140" spans="1:18" ht="15.75" customHeight="1">
      <c r="A140" s="19"/>
      <c r="B140" s="20">
        <f>DATE(2014,6,1)</f>
        <v>41791</v>
      </c>
      <c r="C140" s="21">
        <v>446275</v>
      </c>
      <c r="D140" s="21">
        <v>479100</v>
      </c>
      <c r="E140" s="23">
        <f t="shared" si="40"/>
        <v>-0.06851388019202671</v>
      </c>
      <c r="F140" s="21">
        <f>+C140-223191</f>
        <v>223084</v>
      </c>
      <c r="G140" s="21">
        <f>+D140-244484</f>
        <v>234616</v>
      </c>
      <c r="H140" s="23">
        <f t="shared" si="41"/>
        <v>-0.04915265796024142</v>
      </c>
      <c r="I140" s="24">
        <f t="shared" si="42"/>
        <v>35.59565341997647</v>
      </c>
      <c r="J140" s="24">
        <f t="shared" si="43"/>
        <v>71.20837993760198</v>
      </c>
      <c r="K140" s="21">
        <v>15885450.23</v>
      </c>
      <c r="L140" s="21">
        <v>16636884.67</v>
      </c>
      <c r="M140" s="25">
        <f t="shared" si="44"/>
        <v>-0.04516677580598985</v>
      </c>
      <c r="N140" s="10"/>
      <c r="R140" s="2"/>
    </row>
    <row r="141" spans="1:18" ht="15.75" customHeight="1" thickBot="1">
      <c r="A141" s="19"/>
      <c r="B141" s="45"/>
      <c r="C141" s="21"/>
      <c r="D141" s="21"/>
      <c r="E141" s="23"/>
      <c r="F141" s="21"/>
      <c r="G141" s="21"/>
      <c r="H141" s="23"/>
      <c r="I141" s="24"/>
      <c r="J141" s="24"/>
      <c r="K141" s="21"/>
      <c r="L141" s="21"/>
      <c r="M141" s="25"/>
      <c r="N141" s="10"/>
      <c r="R141" s="2"/>
    </row>
    <row r="142" spans="1:18" ht="17.25" thickBot="1" thickTop="1">
      <c r="A142" s="39" t="s">
        <v>14</v>
      </c>
      <c r="B142" s="40"/>
      <c r="C142" s="41">
        <f>SUM(C129:C141)</f>
        <v>5759027</v>
      </c>
      <c r="D142" s="41">
        <f>SUM(D129:D141)</f>
        <v>6327395</v>
      </c>
      <c r="E142" s="286">
        <f>(+C142-D142)/D142</f>
        <v>-0.08982653998999589</v>
      </c>
      <c r="F142" s="41">
        <f>SUM(F129:F141)</f>
        <v>2800631</v>
      </c>
      <c r="G142" s="41">
        <f>SUM(G129:G141)</f>
        <v>3055113</v>
      </c>
      <c r="H142" s="42">
        <f>(+F142-G142)/G142</f>
        <v>-0.08329708262836759</v>
      </c>
      <c r="I142" s="43">
        <f>K142/C142</f>
        <v>34.30666987669965</v>
      </c>
      <c r="J142" s="43">
        <f>K142/F142</f>
        <v>70.54590129867161</v>
      </c>
      <c r="K142" s="41">
        <f>SUM(K129:K141)</f>
        <v>197573038.09999996</v>
      </c>
      <c r="L142" s="41">
        <f>SUM(L129:L141)</f>
        <v>213197246.08999997</v>
      </c>
      <c r="M142" s="44">
        <f>(+K142-L142)/L142</f>
        <v>-0.07328522425380833</v>
      </c>
      <c r="N142" s="10"/>
      <c r="R142" s="2"/>
    </row>
    <row r="143" spans="1:18" ht="15.75" customHeight="1" thickTop="1">
      <c r="A143" s="54"/>
      <c r="B143" s="55"/>
      <c r="C143" s="55"/>
      <c r="D143" s="55"/>
      <c r="E143" s="56"/>
      <c r="F143" s="55"/>
      <c r="G143" s="55"/>
      <c r="H143" s="56"/>
      <c r="I143" s="55"/>
      <c r="J143" s="55"/>
      <c r="K143" s="196"/>
      <c r="L143" s="196"/>
      <c r="M143" s="57"/>
      <c r="N143" s="10"/>
      <c r="R143" s="2"/>
    </row>
    <row r="144" spans="1:18" ht="15.75" customHeight="1">
      <c r="A144" s="19" t="s">
        <v>59</v>
      </c>
      <c r="B144" s="20">
        <f>DATE(2013,7,1)</f>
        <v>41456</v>
      </c>
      <c r="C144" s="21">
        <v>478335</v>
      </c>
      <c r="D144" s="21">
        <v>559966</v>
      </c>
      <c r="E144" s="23">
        <f aca="true" t="shared" si="45" ref="E144:E155">(+C144-D144)/D144</f>
        <v>-0.14577849369426002</v>
      </c>
      <c r="F144" s="21">
        <f>+C144-233675</f>
        <v>244660</v>
      </c>
      <c r="G144" s="21">
        <f>+D144-278963</f>
        <v>281003</v>
      </c>
      <c r="H144" s="23">
        <f aca="true" t="shared" si="46" ref="H144:H155">(+F144-G144)/G144</f>
        <v>-0.12933313879211253</v>
      </c>
      <c r="I144" s="24">
        <f aca="true" t="shared" si="47" ref="I144:I155">K144/C144</f>
        <v>34.27530195365173</v>
      </c>
      <c r="J144" s="24">
        <f aca="true" t="shared" si="48" ref="J144:J155">K144/F144</f>
        <v>67.0116756314886</v>
      </c>
      <c r="K144" s="21">
        <v>16395076.56</v>
      </c>
      <c r="L144" s="21">
        <v>17977290.57</v>
      </c>
      <c r="M144" s="25">
        <f aca="true" t="shared" si="49" ref="M144:M155">(+K144-L144)/L144</f>
        <v>-0.08801181712222832</v>
      </c>
      <c r="N144" s="10"/>
      <c r="R144" s="2"/>
    </row>
    <row r="145" spans="1:18" ht="15.75" customHeight="1">
      <c r="A145" s="19"/>
      <c r="B145" s="20">
        <f>DATE(2013,8,1)</f>
        <v>41487</v>
      </c>
      <c r="C145" s="21">
        <v>529390</v>
      </c>
      <c r="D145" s="21">
        <v>521819</v>
      </c>
      <c r="E145" s="23">
        <f t="shared" si="45"/>
        <v>0.014508862268334423</v>
      </c>
      <c r="F145" s="21">
        <f>+C145-256440</f>
        <v>272950</v>
      </c>
      <c r="G145" s="21">
        <f>+D145-261336</f>
        <v>260483</v>
      </c>
      <c r="H145" s="23">
        <f t="shared" si="46"/>
        <v>0.04786108882345489</v>
      </c>
      <c r="I145" s="24">
        <f t="shared" si="47"/>
        <v>34.30622520259166</v>
      </c>
      <c r="J145" s="24">
        <f t="shared" si="48"/>
        <v>66.53736054222385</v>
      </c>
      <c r="K145" s="21">
        <v>18161372.56</v>
      </c>
      <c r="L145" s="21">
        <v>17829049.67</v>
      </c>
      <c r="M145" s="25">
        <f t="shared" si="49"/>
        <v>0.018639405697499348</v>
      </c>
      <c r="N145" s="10"/>
      <c r="R145" s="2"/>
    </row>
    <row r="146" spans="1:18" ht="15.75" customHeight="1">
      <c r="A146" s="19"/>
      <c r="B146" s="20">
        <f>DATE(2013,9,1)</f>
        <v>41518</v>
      </c>
      <c r="C146" s="21">
        <v>505814</v>
      </c>
      <c r="D146" s="21">
        <v>518876</v>
      </c>
      <c r="E146" s="23">
        <f t="shared" si="45"/>
        <v>-0.025173644570186327</v>
      </c>
      <c r="F146" s="21">
        <f>+C146-247916</f>
        <v>257898</v>
      </c>
      <c r="G146" s="21">
        <f>D146-268642</f>
        <v>250234</v>
      </c>
      <c r="H146" s="23">
        <f t="shared" si="46"/>
        <v>0.03062733281648377</v>
      </c>
      <c r="I146" s="24">
        <f t="shared" si="47"/>
        <v>33.88592885922493</v>
      </c>
      <c r="J146" s="24">
        <f t="shared" si="48"/>
        <v>66.46029523299909</v>
      </c>
      <c r="K146" s="21">
        <v>17139977.22</v>
      </c>
      <c r="L146" s="21">
        <v>17274511.71</v>
      </c>
      <c r="M146" s="25">
        <f t="shared" si="49"/>
        <v>-0.007788034316600783</v>
      </c>
      <c r="N146" s="10"/>
      <c r="R146" s="2"/>
    </row>
    <row r="147" spans="1:18" ht="15.75" customHeight="1">
      <c r="A147" s="19"/>
      <c r="B147" s="20">
        <f>DATE(2013,10,1)</f>
        <v>41548</v>
      </c>
      <c r="C147" s="21">
        <v>489334</v>
      </c>
      <c r="D147" s="21">
        <v>446706</v>
      </c>
      <c r="E147" s="23">
        <f t="shared" si="45"/>
        <v>0.0954274175856156</v>
      </c>
      <c r="F147" s="21">
        <f>+C147-235323</f>
        <v>254011</v>
      </c>
      <c r="G147" s="21">
        <f>D147-225385</f>
        <v>221321</v>
      </c>
      <c r="H147" s="23">
        <f t="shared" si="46"/>
        <v>0.14770401362726537</v>
      </c>
      <c r="I147" s="24">
        <f t="shared" si="47"/>
        <v>34.365576824827215</v>
      </c>
      <c r="J147" s="24">
        <f t="shared" si="48"/>
        <v>66.2028225942971</v>
      </c>
      <c r="K147" s="21">
        <v>16816245.17</v>
      </c>
      <c r="L147" s="21">
        <v>15332300.77</v>
      </c>
      <c r="M147" s="25">
        <f t="shared" si="49"/>
        <v>0.09678550024948424</v>
      </c>
      <c r="N147" s="10"/>
      <c r="R147" s="2"/>
    </row>
    <row r="148" spans="1:18" ht="15.75" customHeight="1">
      <c r="A148" s="19"/>
      <c r="B148" s="20">
        <f>DATE(2013,11,1)</f>
        <v>41579</v>
      </c>
      <c r="C148" s="21">
        <v>523143</v>
      </c>
      <c r="D148" s="21">
        <v>463686</v>
      </c>
      <c r="E148" s="23">
        <f t="shared" si="45"/>
        <v>0.12822686041847284</v>
      </c>
      <c r="F148" s="21">
        <f>+C148-256054</f>
        <v>267089</v>
      </c>
      <c r="G148" s="21">
        <f>+D148-233451</f>
        <v>230235</v>
      </c>
      <c r="H148" s="23">
        <f t="shared" si="46"/>
        <v>0.160071231567746</v>
      </c>
      <c r="I148" s="24">
        <f t="shared" si="47"/>
        <v>35.55108524820174</v>
      </c>
      <c r="J148" s="24">
        <f t="shared" si="48"/>
        <v>69.63334839697629</v>
      </c>
      <c r="K148" s="21">
        <v>18598301.39</v>
      </c>
      <c r="L148" s="21">
        <v>16471572.13</v>
      </c>
      <c r="M148" s="25">
        <f t="shared" si="49"/>
        <v>0.12911513504691793</v>
      </c>
      <c r="N148" s="10"/>
      <c r="R148" s="2"/>
    </row>
    <row r="149" spans="1:18" ht="15.75" customHeight="1">
      <c r="A149" s="19"/>
      <c r="B149" s="20">
        <f>DATE(2013,12,1)</f>
        <v>41609</v>
      </c>
      <c r="C149" s="21">
        <v>477216</v>
      </c>
      <c r="D149" s="21">
        <v>514853</v>
      </c>
      <c r="E149" s="23">
        <f t="shared" si="45"/>
        <v>-0.07310241952557332</v>
      </c>
      <c r="F149" s="21">
        <f>+C149-237172</f>
        <v>240044</v>
      </c>
      <c r="G149" s="21">
        <f>+D149-262090</f>
        <v>252763</v>
      </c>
      <c r="H149" s="23">
        <f t="shared" si="46"/>
        <v>-0.0503198648536376</v>
      </c>
      <c r="I149" s="24">
        <f t="shared" si="47"/>
        <v>35.46938570793938</v>
      </c>
      <c r="J149" s="24">
        <f t="shared" si="48"/>
        <v>70.51439890186799</v>
      </c>
      <c r="K149" s="21">
        <v>16926558.37</v>
      </c>
      <c r="L149" s="21">
        <v>17573375.16</v>
      </c>
      <c r="M149" s="25">
        <f t="shared" si="49"/>
        <v>-0.03680663413322356</v>
      </c>
      <c r="N149" s="10"/>
      <c r="R149" s="2"/>
    </row>
    <row r="150" spans="1:18" ht="15.75" customHeight="1">
      <c r="A150" s="19"/>
      <c r="B150" s="20">
        <f>DATE(2014,1,1)</f>
        <v>41640</v>
      </c>
      <c r="C150" s="21">
        <v>461091</v>
      </c>
      <c r="D150" s="21">
        <v>481125</v>
      </c>
      <c r="E150" s="23">
        <f t="shared" si="45"/>
        <v>-0.041639906469212784</v>
      </c>
      <c r="F150" s="21">
        <f>+C150-227662</f>
        <v>233429</v>
      </c>
      <c r="G150" s="21">
        <f>+D150-238474</f>
        <v>242651</v>
      </c>
      <c r="H150" s="23">
        <f t="shared" si="46"/>
        <v>-0.03800520088522199</v>
      </c>
      <c r="I150" s="24">
        <f t="shared" si="47"/>
        <v>33.92682032397076</v>
      </c>
      <c r="J150" s="24">
        <f t="shared" si="48"/>
        <v>67.01545870478817</v>
      </c>
      <c r="K150" s="21">
        <v>15643351.51</v>
      </c>
      <c r="L150" s="21">
        <v>15922984.07</v>
      </c>
      <c r="M150" s="25">
        <f t="shared" si="49"/>
        <v>-0.017561567528466448</v>
      </c>
      <c r="N150" s="10"/>
      <c r="R150" s="2"/>
    </row>
    <row r="151" spans="1:18" ht="15.75" customHeight="1">
      <c r="A151" s="19"/>
      <c r="B151" s="20">
        <f>DATE(2014,2,1)</f>
        <v>41671</v>
      </c>
      <c r="C151" s="21">
        <v>498664</v>
      </c>
      <c r="D151" s="21">
        <v>495138</v>
      </c>
      <c r="E151" s="23">
        <f t="shared" si="45"/>
        <v>0.007121247005885228</v>
      </c>
      <c r="F151" s="21">
        <f>+C151-250684</f>
        <v>247980</v>
      </c>
      <c r="G151" s="21">
        <f>+D151-248000</f>
        <v>247138</v>
      </c>
      <c r="H151" s="23">
        <f t="shared" si="46"/>
        <v>0.003407003374632796</v>
      </c>
      <c r="I151" s="24">
        <f t="shared" si="47"/>
        <v>33.22755787464104</v>
      </c>
      <c r="J151" s="24">
        <f t="shared" si="48"/>
        <v>66.81743253488185</v>
      </c>
      <c r="K151" s="21">
        <v>16569386.92</v>
      </c>
      <c r="L151" s="21">
        <v>16966926.35</v>
      </c>
      <c r="M151" s="25">
        <f t="shared" si="49"/>
        <v>-0.02343025612296605</v>
      </c>
      <c r="N151" s="10"/>
      <c r="R151" s="2"/>
    </row>
    <row r="152" spans="1:18" ht="15.75" customHeight="1">
      <c r="A152" s="19"/>
      <c r="B152" s="20">
        <f>DATE(2014,3,1)</f>
        <v>41699</v>
      </c>
      <c r="C152" s="21">
        <v>552194</v>
      </c>
      <c r="D152" s="21">
        <v>533265</v>
      </c>
      <c r="E152" s="23">
        <f t="shared" si="45"/>
        <v>0.03549642297919421</v>
      </c>
      <c r="F152" s="21">
        <f>+C152-270982</f>
        <v>281212</v>
      </c>
      <c r="G152" s="21">
        <f>+D152-270788</f>
        <v>262477</v>
      </c>
      <c r="H152" s="23">
        <f t="shared" si="46"/>
        <v>0.07137768261600064</v>
      </c>
      <c r="I152" s="24">
        <f t="shared" si="47"/>
        <v>35.215141779881705</v>
      </c>
      <c r="J152" s="24">
        <f t="shared" si="48"/>
        <v>69.14921838328378</v>
      </c>
      <c r="K152" s="21">
        <v>19445590</v>
      </c>
      <c r="L152" s="21">
        <v>19109697.14</v>
      </c>
      <c r="M152" s="25">
        <f t="shared" si="49"/>
        <v>0.017577089659726517</v>
      </c>
      <c r="N152" s="10"/>
      <c r="R152" s="2"/>
    </row>
    <row r="153" spans="1:18" ht="15.75" customHeight="1">
      <c r="A153" s="19"/>
      <c r="B153" s="20">
        <f>DATE(2014,4,1)</f>
        <v>41730</v>
      </c>
      <c r="C153" s="21">
        <v>477885</v>
      </c>
      <c r="D153" s="21">
        <v>482359</v>
      </c>
      <c r="E153" s="23">
        <f t="shared" si="45"/>
        <v>-0.009275249347477709</v>
      </c>
      <c r="F153" s="21">
        <f>+C153-228578</f>
        <v>249307</v>
      </c>
      <c r="G153" s="21">
        <f>+D153-244780</f>
        <v>237579</v>
      </c>
      <c r="H153" s="23">
        <f t="shared" si="46"/>
        <v>0.04936463239596092</v>
      </c>
      <c r="I153" s="24">
        <f t="shared" si="47"/>
        <v>36.762972870041956</v>
      </c>
      <c r="J153" s="24">
        <f t="shared" si="48"/>
        <v>70.46923387630511</v>
      </c>
      <c r="K153" s="21">
        <v>17568473.29</v>
      </c>
      <c r="L153" s="21">
        <v>17025032.87</v>
      </c>
      <c r="M153" s="25">
        <f t="shared" si="49"/>
        <v>0.0319200805161205</v>
      </c>
      <c r="N153" s="10"/>
      <c r="R153" s="2"/>
    </row>
    <row r="154" spans="1:18" ht="15.75" customHeight="1">
      <c r="A154" s="19"/>
      <c r="B154" s="20">
        <f>DATE(2014,5,1)</f>
        <v>41760</v>
      </c>
      <c r="C154" s="21">
        <v>497569</v>
      </c>
      <c r="D154" s="21">
        <v>475102</v>
      </c>
      <c r="E154" s="23">
        <f t="shared" si="45"/>
        <v>0.047288792722404875</v>
      </c>
      <c r="F154" s="21">
        <f>+C154-239305</f>
        <v>258264</v>
      </c>
      <c r="G154" s="21">
        <f>+D154-236010</f>
        <v>239092</v>
      </c>
      <c r="H154" s="23">
        <f t="shared" si="46"/>
        <v>0.0801867063724424</v>
      </c>
      <c r="I154" s="24">
        <f t="shared" si="47"/>
        <v>36.86274591061743</v>
      </c>
      <c r="J154" s="24">
        <f t="shared" si="48"/>
        <v>71.01942051544157</v>
      </c>
      <c r="K154" s="21">
        <v>18341759.62</v>
      </c>
      <c r="L154" s="21">
        <v>17736768.61</v>
      </c>
      <c r="M154" s="25">
        <f t="shared" si="49"/>
        <v>0.034109426767788324</v>
      </c>
      <c r="N154" s="10"/>
      <c r="R154" s="2"/>
    </row>
    <row r="155" spans="1:18" ht="15.75" customHeight="1">
      <c r="A155" s="19"/>
      <c r="B155" s="20">
        <f>DATE(2014,6,1)</f>
        <v>41791</v>
      </c>
      <c r="C155" s="21">
        <v>456696</v>
      </c>
      <c r="D155" s="21">
        <v>470061</v>
      </c>
      <c r="E155" s="23">
        <f t="shared" si="45"/>
        <v>-0.02843248003982462</v>
      </c>
      <c r="F155" s="21">
        <f>+C155-222047</f>
        <v>234649</v>
      </c>
      <c r="G155" s="21">
        <f>+D155-231257</f>
        <v>238804</v>
      </c>
      <c r="H155" s="23">
        <f t="shared" si="46"/>
        <v>-0.01739920604344986</v>
      </c>
      <c r="I155" s="24">
        <f t="shared" si="47"/>
        <v>35.01970231839123</v>
      </c>
      <c r="J155" s="24">
        <f t="shared" si="48"/>
        <v>68.15864533835644</v>
      </c>
      <c r="K155" s="21">
        <v>15993357.97</v>
      </c>
      <c r="L155" s="21">
        <v>16577722.52</v>
      </c>
      <c r="M155" s="25">
        <f t="shared" si="49"/>
        <v>-0.03524998981585071</v>
      </c>
      <c r="N155" s="10"/>
      <c r="R155" s="2"/>
    </row>
    <row r="156" spans="1:18" ht="15.75" customHeight="1" thickBot="1">
      <c r="A156" s="19"/>
      <c r="B156" s="45"/>
      <c r="C156" s="21"/>
      <c r="D156" s="21"/>
      <c r="E156" s="23"/>
      <c r="F156" s="21"/>
      <c r="G156" s="21"/>
      <c r="H156" s="23"/>
      <c r="I156" s="24"/>
      <c r="J156" s="24"/>
      <c r="K156" s="21"/>
      <c r="L156" s="21"/>
      <c r="M156" s="25"/>
      <c r="N156" s="10"/>
      <c r="R156" s="2"/>
    </row>
    <row r="157" spans="1:18" ht="17.25" thickBot="1" thickTop="1">
      <c r="A157" s="39" t="s">
        <v>14</v>
      </c>
      <c r="B157" s="40"/>
      <c r="C157" s="41">
        <f>SUM(C144:C156)</f>
        <v>5947331</v>
      </c>
      <c r="D157" s="41">
        <f>SUM(D144:D156)</f>
        <v>5962956</v>
      </c>
      <c r="E157" s="286">
        <f>(+C157-D157)/D157</f>
        <v>-0.0026203446746881917</v>
      </c>
      <c r="F157" s="41">
        <f>SUM(F144:F156)</f>
        <v>3041493</v>
      </c>
      <c r="G157" s="41">
        <f>SUM(G144:G156)</f>
        <v>2963780</v>
      </c>
      <c r="H157" s="42">
        <f>(+F157-G157)/G157</f>
        <v>0.026220907084871348</v>
      </c>
      <c r="I157" s="43">
        <f>K157/C157</f>
        <v>34.906321941724784</v>
      </c>
      <c r="J157" s="43">
        <f>K157/F157</f>
        <v>68.255771287325</v>
      </c>
      <c r="K157" s="41">
        <f>SUM(K144:K156)</f>
        <v>207599450.57999998</v>
      </c>
      <c r="L157" s="41">
        <f>SUM(L144:L156)</f>
        <v>205797231.57000002</v>
      </c>
      <c r="M157" s="44">
        <f>(+K157-L157)/L157</f>
        <v>0.008757255849610165</v>
      </c>
      <c r="N157" s="10"/>
      <c r="R157" s="2"/>
    </row>
    <row r="158" spans="1:18" ht="15.75" customHeight="1" thickTop="1">
      <c r="A158" s="58"/>
      <c r="B158" s="59"/>
      <c r="C158" s="59"/>
      <c r="D158" s="59"/>
      <c r="E158" s="60"/>
      <c r="F158" s="59"/>
      <c r="G158" s="59"/>
      <c r="H158" s="60"/>
      <c r="I158" s="59"/>
      <c r="J158" s="59"/>
      <c r="K158" s="197"/>
      <c r="L158" s="197"/>
      <c r="M158" s="61"/>
      <c r="N158" s="10"/>
      <c r="R158" s="2"/>
    </row>
    <row r="159" spans="1:18" ht="15" customHeight="1">
      <c r="A159" s="19" t="s">
        <v>60</v>
      </c>
      <c r="B159" s="20">
        <f>DATE(2013,7,1)</f>
        <v>41456</v>
      </c>
      <c r="C159" s="21">
        <v>86946</v>
      </c>
      <c r="D159" s="21">
        <v>103415</v>
      </c>
      <c r="E159" s="23">
        <f aca="true" t="shared" si="50" ref="E159:E170">(+C159-D159)/D159</f>
        <v>-0.15925155925155926</v>
      </c>
      <c r="F159" s="21">
        <f>+C159-43787</f>
        <v>43159</v>
      </c>
      <c r="G159" s="21">
        <f>+D159-53002</f>
        <v>50413</v>
      </c>
      <c r="H159" s="23">
        <f aca="true" t="shared" si="51" ref="H159:H170">(+F159-G159)/G159</f>
        <v>-0.1438914565687422</v>
      </c>
      <c r="I159" s="24">
        <f aca="true" t="shared" si="52" ref="I159:I170">K159/C159</f>
        <v>34.21040093851356</v>
      </c>
      <c r="J159" s="24">
        <f aca="true" t="shared" si="53" ref="J159:J170">K159/F159</f>
        <v>68.91859218239533</v>
      </c>
      <c r="K159" s="21">
        <v>2974457.52</v>
      </c>
      <c r="L159" s="21">
        <v>3359020.59</v>
      </c>
      <c r="M159" s="25">
        <f aca="true" t="shared" si="54" ref="M159:M170">(+K159-L159)/L159</f>
        <v>-0.11448666648393478</v>
      </c>
      <c r="N159" s="10"/>
      <c r="R159" s="2"/>
    </row>
    <row r="160" spans="1:18" ht="15" customHeight="1">
      <c r="A160" s="19"/>
      <c r="B160" s="20">
        <f>DATE(2013,8,1)</f>
        <v>41487</v>
      </c>
      <c r="C160" s="21">
        <v>89883</v>
      </c>
      <c r="D160" s="21">
        <v>97074</v>
      </c>
      <c r="E160" s="23">
        <f t="shared" si="50"/>
        <v>-0.07407750788058594</v>
      </c>
      <c r="F160" s="21">
        <f>+C160-45553</f>
        <v>44330</v>
      </c>
      <c r="G160" s="21">
        <f>+D160-49756</f>
        <v>47318</v>
      </c>
      <c r="H160" s="23">
        <f t="shared" si="51"/>
        <v>-0.06314721670400271</v>
      </c>
      <c r="I160" s="24">
        <f t="shared" si="52"/>
        <v>33.8045326702491</v>
      </c>
      <c r="J160" s="24">
        <f t="shared" si="53"/>
        <v>68.54168305887661</v>
      </c>
      <c r="K160" s="21">
        <v>3038452.81</v>
      </c>
      <c r="L160" s="21">
        <v>3254067.81</v>
      </c>
      <c r="M160" s="25">
        <f t="shared" si="54"/>
        <v>-0.06626014348484029</v>
      </c>
      <c r="N160" s="10"/>
      <c r="R160" s="2"/>
    </row>
    <row r="161" spans="1:18" ht="15" customHeight="1">
      <c r="A161" s="19"/>
      <c r="B161" s="20">
        <f>DATE(2013,9,1)</f>
        <v>41518</v>
      </c>
      <c r="C161" s="21">
        <v>83616</v>
      </c>
      <c r="D161" s="21">
        <v>93484</v>
      </c>
      <c r="E161" s="23">
        <f t="shared" si="50"/>
        <v>-0.10555817038209747</v>
      </c>
      <c r="F161" s="21">
        <f>C161-42083</f>
        <v>41533</v>
      </c>
      <c r="G161" s="21">
        <f>D161-48200</f>
        <v>45284</v>
      </c>
      <c r="H161" s="23">
        <f t="shared" si="51"/>
        <v>-0.08283278862291317</v>
      </c>
      <c r="I161" s="24">
        <f t="shared" si="52"/>
        <v>34.52627260332951</v>
      </c>
      <c r="J161" s="24">
        <f t="shared" si="53"/>
        <v>69.50975874605736</v>
      </c>
      <c r="K161" s="21">
        <v>2886948.81</v>
      </c>
      <c r="L161" s="21">
        <v>3094460.2</v>
      </c>
      <c r="M161" s="25">
        <f t="shared" si="54"/>
        <v>-0.06705899465115114</v>
      </c>
      <c r="N161" s="10"/>
      <c r="R161" s="2"/>
    </row>
    <row r="162" spans="1:18" ht="15" customHeight="1">
      <c r="A162" s="19"/>
      <c r="B162" s="20">
        <f>DATE(2013,10,1)</f>
        <v>41548</v>
      </c>
      <c r="C162" s="21">
        <v>80385</v>
      </c>
      <c r="D162" s="21">
        <v>88493</v>
      </c>
      <c r="E162" s="23">
        <f t="shared" si="50"/>
        <v>-0.09162306623122733</v>
      </c>
      <c r="F162" s="21">
        <f>C162-41448</f>
        <v>38937</v>
      </c>
      <c r="G162" s="21">
        <f>D162-45853</f>
        <v>42640</v>
      </c>
      <c r="H162" s="23">
        <f t="shared" si="51"/>
        <v>-0.08684333958724202</v>
      </c>
      <c r="I162" s="24">
        <f t="shared" si="52"/>
        <v>36.07895589973254</v>
      </c>
      <c r="J162" s="24">
        <f t="shared" si="53"/>
        <v>74.4845999948635</v>
      </c>
      <c r="K162" s="21">
        <v>2900206.87</v>
      </c>
      <c r="L162" s="21">
        <v>3012322.5</v>
      </c>
      <c r="M162" s="25">
        <f t="shared" si="54"/>
        <v>-0.03721899962570405</v>
      </c>
      <c r="N162" s="10"/>
      <c r="R162" s="2"/>
    </row>
    <row r="163" spans="1:18" ht="15" customHeight="1">
      <c r="A163" s="19"/>
      <c r="B163" s="20">
        <f>DATE(2013,11,1)</f>
        <v>41579</v>
      </c>
      <c r="C163" s="21">
        <v>85054</v>
      </c>
      <c r="D163" s="21">
        <v>91121</v>
      </c>
      <c r="E163" s="23">
        <f t="shared" si="50"/>
        <v>-0.06658179782925999</v>
      </c>
      <c r="F163" s="21">
        <f>+C163-44715</f>
        <v>40339</v>
      </c>
      <c r="G163" s="21">
        <f>+D163-47793</f>
        <v>43328</v>
      </c>
      <c r="H163" s="23">
        <f t="shared" si="51"/>
        <v>-0.06898541358936484</v>
      </c>
      <c r="I163" s="24">
        <f t="shared" si="52"/>
        <v>37.29254203212077</v>
      </c>
      <c r="J163" s="24">
        <f t="shared" si="53"/>
        <v>78.63060239470488</v>
      </c>
      <c r="K163" s="21">
        <v>3171879.87</v>
      </c>
      <c r="L163" s="21">
        <v>3169802.58</v>
      </c>
      <c r="M163" s="25">
        <f t="shared" si="54"/>
        <v>0.0006553373428070203</v>
      </c>
      <c r="N163" s="10"/>
      <c r="R163" s="2"/>
    </row>
    <row r="164" spans="1:18" ht="15" customHeight="1">
      <c r="A164" s="19"/>
      <c r="B164" s="20">
        <f>DATE(2013,12,1)</f>
        <v>41609</v>
      </c>
      <c r="C164" s="21">
        <v>78281</v>
      </c>
      <c r="D164" s="21">
        <v>90765</v>
      </c>
      <c r="E164" s="23">
        <f t="shared" si="50"/>
        <v>-0.1375420040764612</v>
      </c>
      <c r="F164" s="21">
        <f>+C164-41497</f>
        <v>36784</v>
      </c>
      <c r="G164" s="21">
        <f>+D164-47763</f>
        <v>43002</v>
      </c>
      <c r="H164" s="23">
        <f t="shared" si="51"/>
        <v>-0.14459792567787544</v>
      </c>
      <c r="I164" s="24">
        <f t="shared" si="52"/>
        <v>38.42056846488931</v>
      </c>
      <c r="J164" s="24">
        <f t="shared" si="53"/>
        <v>81.76382448890823</v>
      </c>
      <c r="K164" s="21">
        <v>3007600.52</v>
      </c>
      <c r="L164" s="21">
        <v>3158305.68</v>
      </c>
      <c r="M164" s="25">
        <f t="shared" si="54"/>
        <v>-0.047717091146161676</v>
      </c>
      <c r="N164" s="10"/>
      <c r="R164" s="2"/>
    </row>
    <row r="165" spans="1:18" ht="15" customHeight="1">
      <c r="A165" s="19"/>
      <c r="B165" s="20">
        <f>DATE(2014,1,1)</f>
        <v>41640</v>
      </c>
      <c r="C165" s="21">
        <v>73760</v>
      </c>
      <c r="D165" s="21">
        <v>86171</v>
      </c>
      <c r="E165" s="23">
        <f t="shared" si="50"/>
        <v>-0.1440275730814311</v>
      </c>
      <c r="F165" s="21">
        <f>+C165-38513</f>
        <v>35247</v>
      </c>
      <c r="G165" s="21">
        <f>+D165-45098</f>
        <v>41073</v>
      </c>
      <c r="H165" s="23">
        <f t="shared" si="51"/>
        <v>-0.14184500766927177</v>
      </c>
      <c r="I165" s="24">
        <f t="shared" si="52"/>
        <v>37.087079175704986</v>
      </c>
      <c r="J165" s="24">
        <f t="shared" si="53"/>
        <v>77.61066076545522</v>
      </c>
      <c r="K165" s="21">
        <v>2735542.96</v>
      </c>
      <c r="L165" s="21">
        <v>3000547.43</v>
      </c>
      <c r="M165" s="25">
        <f t="shared" si="54"/>
        <v>-0.08831870723003375</v>
      </c>
      <c r="N165" s="10"/>
      <c r="R165" s="2"/>
    </row>
    <row r="166" spans="1:18" ht="15" customHeight="1">
      <c r="A166" s="19"/>
      <c r="B166" s="20">
        <f>DATE(2014,2,1)</f>
        <v>41671</v>
      </c>
      <c r="C166" s="21">
        <v>76246</v>
      </c>
      <c r="D166" s="21">
        <v>86263</v>
      </c>
      <c r="E166" s="23">
        <f t="shared" si="50"/>
        <v>-0.11612162804446866</v>
      </c>
      <c r="F166" s="21">
        <f>+C166-40230</f>
        <v>36016</v>
      </c>
      <c r="G166" s="21">
        <f>+D166-45487</f>
        <v>40776</v>
      </c>
      <c r="H166" s="23">
        <f t="shared" si="51"/>
        <v>-0.11673533451049636</v>
      </c>
      <c r="I166" s="24">
        <f t="shared" si="52"/>
        <v>37.310951000708236</v>
      </c>
      <c r="J166" s="24">
        <f t="shared" si="53"/>
        <v>78.98741587072412</v>
      </c>
      <c r="K166" s="21">
        <v>2844810.77</v>
      </c>
      <c r="L166" s="21">
        <v>3106854.9</v>
      </c>
      <c r="M166" s="25">
        <f t="shared" si="54"/>
        <v>-0.08434385847887518</v>
      </c>
      <c r="N166" s="10"/>
      <c r="R166" s="2"/>
    </row>
    <row r="167" spans="1:18" ht="15" customHeight="1">
      <c r="A167" s="19"/>
      <c r="B167" s="20">
        <f>DATE(2014,3,1)</f>
        <v>41699</v>
      </c>
      <c r="C167" s="21">
        <v>92304</v>
      </c>
      <c r="D167" s="21">
        <v>101860</v>
      </c>
      <c r="E167" s="23">
        <f t="shared" si="50"/>
        <v>-0.09381504025132535</v>
      </c>
      <c r="F167" s="21">
        <f>+C167-48229</f>
        <v>44075</v>
      </c>
      <c r="G167" s="21">
        <f>+D167-53596</f>
        <v>48264</v>
      </c>
      <c r="H167" s="23">
        <f t="shared" si="51"/>
        <v>-0.08679346925244488</v>
      </c>
      <c r="I167" s="24">
        <f t="shared" si="52"/>
        <v>37.39855195874502</v>
      </c>
      <c r="J167" s="24">
        <f t="shared" si="53"/>
        <v>78.32185910380034</v>
      </c>
      <c r="K167" s="21">
        <v>3452035.94</v>
      </c>
      <c r="L167" s="21">
        <v>3677452.35</v>
      </c>
      <c r="M167" s="25">
        <f t="shared" si="54"/>
        <v>-0.061296894846237814</v>
      </c>
      <c r="N167" s="10"/>
      <c r="R167" s="2"/>
    </row>
    <row r="168" spans="1:18" ht="15" customHeight="1">
      <c r="A168" s="19"/>
      <c r="B168" s="20">
        <f>DATE(2014,4,1)</f>
        <v>41730</v>
      </c>
      <c r="C168" s="21">
        <v>84241</v>
      </c>
      <c r="D168" s="21">
        <v>88957</v>
      </c>
      <c r="E168" s="23">
        <f t="shared" si="50"/>
        <v>-0.05301437773306204</v>
      </c>
      <c r="F168" s="21">
        <f>+C168-43263</f>
        <v>40978</v>
      </c>
      <c r="G168" s="21">
        <f>+D168-46139</f>
        <v>42818</v>
      </c>
      <c r="H168" s="23">
        <f t="shared" si="51"/>
        <v>-0.04297258162455042</v>
      </c>
      <c r="I168" s="24">
        <f t="shared" si="52"/>
        <v>36.61264906636911</v>
      </c>
      <c r="J168" s="24">
        <f t="shared" si="53"/>
        <v>75.26687905705501</v>
      </c>
      <c r="K168" s="21">
        <v>3084286.17</v>
      </c>
      <c r="L168" s="21">
        <v>3278302.55</v>
      </c>
      <c r="M168" s="25">
        <f t="shared" si="54"/>
        <v>-0.05918196293383596</v>
      </c>
      <c r="N168" s="10"/>
      <c r="R168" s="2"/>
    </row>
    <row r="169" spans="1:18" ht="15" customHeight="1">
      <c r="A169" s="19"/>
      <c r="B169" s="20">
        <f>DATE(2014,5,1)</f>
        <v>41760</v>
      </c>
      <c r="C169" s="21">
        <v>96221</v>
      </c>
      <c r="D169" s="21">
        <v>91384</v>
      </c>
      <c r="E169" s="23">
        <f t="shared" si="50"/>
        <v>0.05293049111441828</v>
      </c>
      <c r="F169" s="21">
        <f>+C169-47567</f>
        <v>48654</v>
      </c>
      <c r="G169" s="21">
        <f>+D169-47236</f>
        <v>44148</v>
      </c>
      <c r="H169" s="23">
        <f t="shared" si="51"/>
        <v>0.10206577874422397</v>
      </c>
      <c r="I169" s="24">
        <f t="shared" si="52"/>
        <v>36.70023705843838</v>
      </c>
      <c r="J169" s="24">
        <f t="shared" si="53"/>
        <v>72.58053829078801</v>
      </c>
      <c r="K169" s="21">
        <v>3531333.51</v>
      </c>
      <c r="L169" s="21">
        <v>3338843.49</v>
      </c>
      <c r="M169" s="25">
        <f t="shared" si="54"/>
        <v>0.05765170502196841</v>
      </c>
      <c r="N169" s="10"/>
      <c r="R169" s="2"/>
    </row>
    <row r="170" spans="1:18" ht="15" customHeight="1">
      <c r="A170" s="19"/>
      <c r="B170" s="20">
        <f>DATE(2014,6,1)</f>
        <v>41791</v>
      </c>
      <c r="C170" s="21">
        <v>81283</v>
      </c>
      <c r="D170" s="21">
        <v>83525</v>
      </c>
      <c r="E170" s="23">
        <f t="shared" si="50"/>
        <v>-0.02684226279557019</v>
      </c>
      <c r="F170" s="21">
        <f>+C170-40805</f>
        <v>40478</v>
      </c>
      <c r="G170" s="21">
        <f>+D170-42726</f>
        <v>40799</v>
      </c>
      <c r="H170" s="23">
        <f t="shared" si="51"/>
        <v>-0.007867839898036716</v>
      </c>
      <c r="I170" s="24">
        <f t="shared" si="52"/>
        <v>36.497874463294906</v>
      </c>
      <c r="J170" s="24">
        <f t="shared" si="53"/>
        <v>73.29059563219526</v>
      </c>
      <c r="K170" s="21">
        <v>2966656.73</v>
      </c>
      <c r="L170" s="21">
        <v>2973369.84</v>
      </c>
      <c r="M170" s="25">
        <f t="shared" si="54"/>
        <v>-0.002257744700874436</v>
      </c>
      <c r="N170" s="10"/>
      <c r="R170" s="2"/>
    </row>
    <row r="171" spans="1:18" ht="15.75" thickBot="1">
      <c r="A171" s="38"/>
      <c r="B171" s="20"/>
      <c r="C171" s="21"/>
      <c r="D171" s="21"/>
      <c r="E171" s="23"/>
      <c r="F171" s="21"/>
      <c r="G171" s="21"/>
      <c r="H171" s="23"/>
      <c r="I171" s="24"/>
      <c r="J171" s="24"/>
      <c r="K171" s="21"/>
      <c r="L171" s="21"/>
      <c r="M171" s="25"/>
      <c r="N171" s="10"/>
      <c r="R171" s="2"/>
    </row>
    <row r="172" spans="1:18" ht="17.25" thickBot="1" thickTop="1">
      <c r="A172" s="62" t="s">
        <v>14</v>
      </c>
      <c r="B172" s="52"/>
      <c r="C172" s="48">
        <f>SUM(C159:C171)</f>
        <v>1008220</v>
      </c>
      <c r="D172" s="48">
        <f>SUM(D159:D171)</f>
        <v>1102512</v>
      </c>
      <c r="E172" s="286">
        <f>(+C172-D172)/D172</f>
        <v>-0.08552469270175744</v>
      </c>
      <c r="F172" s="48">
        <f>SUM(F159:F171)</f>
        <v>490530</v>
      </c>
      <c r="G172" s="48">
        <f>SUM(G159:G171)</f>
        <v>529863</v>
      </c>
      <c r="H172" s="42">
        <f>(+F172-G172)/G172</f>
        <v>-0.07423239592120982</v>
      </c>
      <c r="I172" s="50">
        <f>K172/C172</f>
        <v>36.29586050663546</v>
      </c>
      <c r="J172" s="50">
        <f>K172/F172</f>
        <v>74.60137500254825</v>
      </c>
      <c r="K172" s="48">
        <f>SUM(K159:K171)</f>
        <v>36594212.48</v>
      </c>
      <c r="L172" s="48">
        <f>SUM(L159:L171)</f>
        <v>38423349.92</v>
      </c>
      <c r="M172" s="44">
        <f>(+K172-L172)/L172</f>
        <v>-0.0476048403850365</v>
      </c>
      <c r="N172" s="10"/>
      <c r="R172" s="2"/>
    </row>
    <row r="173" spans="1:18" ht="15.75" customHeight="1" thickTop="1">
      <c r="A173" s="19"/>
      <c r="B173" s="45"/>
      <c r="C173" s="21"/>
      <c r="D173" s="21"/>
      <c r="E173" s="23"/>
      <c r="F173" s="21"/>
      <c r="G173" s="21"/>
      <c r="H173" s="23"/>
      <c r="I173" s="24"/>
      <c r="J173" s="24"/>
      <c r="K173" s="21"/>
      <c r="L173" s="21"/>
      <c r="M173" s="25"/>
      <c r="N173" s="10"/>
      <c r="R173" s="2"/>
    </row>
    <row r="174" spans="1:18" ht="15.75">
      <c r="A174" s="19" t="s">
        <v>19</v>
      </c>
      <c r="B174" s="20">
        <f>DATE(2013,7,1)</f>
        <v>41456</v>
      </c>
      <c r="C174" s="21">
        <v>557354</v>
      </c>
      <c r="D174" s="21">
        <v>684605</v>
      </c>
      <c r="E174" s="23">
        <f aca="true" t="shared" si="55" ref="E174:E185">(+C174-D174)/D174</f>
        <v>-0.1858750666442693</v>
      </c>
      <c r="F174" s="21">
        <f>+C174-286430</f>
        <v>270924</v>
      </c>
      <c r="G174" s="21">
        <f>+D174-339270</f>
        <v>345335</v>
      </c>
      <c r="H174" s="23">
        <f aca="true" t="shared" si="56" ref="H174:H185">(+F174-G174)/G174</f>
        <v>-0.21547482878943636</v>
      </c>
      <c r="I174" s="24">
        <f aca="true" t="shared" si="57" ref="I174:I185">K174/C174</f>
        <v>38.51244575260966</v>
      </c>
      <c r="J174" s="24">
        <f aca="true" t="shared" si="58" ref="J174:J185">K174/F174</f>
        <v>79.22910369697776</v>
      </c>
      <c r="K174" s="21">
        <v>21465065.69</v>
      </c>
      <c r="L174" s="21">
        <v>23853397.91</v>
      </c>
      <c r="M174" s="25">
        <f aca="true" t="shared" si="59" ref="M174:M185">(+K174-L174)/L174</f>
        <v>-0.10012545084818898</v>
      </c>
      <c r="N174" s="10"/>
      <c r="R174" s="2"/>
    </row>
    <row r="175" spans="1:18" ht="15.75">
      <c r="A175" s="19"/>
      <c r="B175" s="20">
        <f>DATE(2013,8,1)</f>
        <v>41487</v>
      </c>
      <c r="C175" s="21">
        <v>558243</v>
      </c>
      <c r="D175" s="21">
        <v>667637</v>
      </c>
      <c r="E175" s="23">
        <f t="shared" si="55"/>
        <v>-0.163852512667812</v>
      </c>
      <c r="F175" s="21">
        <f>+C175-286154</f>
        <v>272089</v>
      </c>
      <c r="G175" s="21">
        <f>+D175-331302</f>
        <v>336335</v>
      </c>
      <c r="H175" s="23">
        <f t="shared" si="56"/>
        <v>-0.19101788395498537</v>
      </c>
      <c r="I175" s="24">
        <f t="shared" si="57"/>
        <v>39.87290070811457</v>
      </c>
      <c r="J175" s="24">
        <f t="shared" si="58"/>
        <v>81.8069371051384</v>
      </c>
      <c r="K175" s="21">
        <v>22258767.71</v>
      </c>
      <c r="L175" s="21">
        <v>23162448.71</v>
      </c>
      <c r="M175" s="25">
        <f t="shared" si="59"/>
        <v>-0.03901491639827575</v>
      </c>
      <c r="N175" s="10"/>
      <c r="R175" s="2"/>
    </row>
    <row r="176" spans="1:18" ht="15.75">
      <c r="A176" s="19"/>
      <c r="B176" s="20">
        <f>DATE(2013,9,1)</f>
        <v>41518</v>
      </c>
      <c r="C176" s="21">
        <v>517441</v>
      </c>
      <c r="D176" s="21">
        <v>634121</v>
      </c>
      <c r="E176" s="23">
        <f t="shared" si="55"/>
        <v>-0.18400273764786215</v>
      </c>
      <c r="F176" s="21">
        <f>C176-263971</f>
        <v>253470</v>
      </c>
      <c r="G176" s="21">
        <f>D176-312293</f>
        <v>321828</v>
      </c>
      <c r="H176" s="23">
        <f t="shared" si="56"/>
        <v>-0.21240538424251462</v>
      </c>
      <c r="I176" s="24">
        <f t="shared" si="57"/>
        <v>39.07068230001102</v>
      </c>
      <c r="J176" s="24">
        <f t="shared" si="58"/>
        <v>79.7600225667732</v>
      </c>
      <c r="K176" s="21">
        <v>20216772.92</v>
      </c>
      <c r="L176" s="21">
        <v>22888186.53</v>
      </c>
      <c r="M176" s="25">
        <f t="shared" si="59"/>
        <v>-0.11671582659021607</v>
      </c>
      <c r="N176" s="10"/>
      <c r="R176" s="2"/>
    </row>
    <row r="177" spans="1:18" ht="15.75">
      <c r="A177" s="19"/>
      <c r="B177" s="20">
        <f>DATE(2013,10,1)</f>
        <v>41548</v>
      </c>
      <c r="C177" s="21">
        <v>507912</v>
      </c>
      <c r="D177" s="21">
        <v>599849</v>
      </c>
      <c r="E177" s="23">
        <f t="shared" si="55"/>
        <v>-0.153266905504552</v>
      </c>
      <c r="F177" s="21">
        <f>C177-260802</f>
        <v>247110</v>
      </c>
      <c r="G177" s="21">
        <f>D177-297104</f>
        <v>302745</v>
      </c>
      <c r="H177" s="23">
        <f t="shared" si="56"/>
        <v>-0.18376851805975325</v>
      </c>
      <c r="I177" s="24">
        <f t="shared" si="57"/>
        <v>39.796473463907134</v>
      </c>
      <c r="J177" s="24">
        <f t="shared" si="58"/>
        <v>81.79801072396909</v>
      </c>
      <c r="K177" s="21">
        <v>20213106.43</v>
      </c>
      <c r="L177" s="21">
        <v>21816495.37</v>
      </c>
      <c r="M177" s="25">
        <f t="shared" si="59"/>
        <v>-0.07349434053486113</v>
      </c>
      <c r="N177" s="10"/>
      <c r="R177" s="2"/>
    </row>
    <row r="178" spans="1:18" ht="15.75">
      <c r="A178" s="19"/>
      <c r="B178" s="20">
        <f>DATE(2013,11,1)</f>
        <v>41579</v>
      </c>
      <c r="C178" s="21">
        <v>546393</v>
      </c>
      <c r="D178" s="21">
        <v>613858</v>
      </c>
      <c r="E178" s="23">
        <f t="shared" si="55"/>
        <v>-0.10990326753092734</v>
      </c>
      <c r="F178" s="21">
        <f>+C178-280915</f>
        <v>265478</v>
      </c>
      <c r="G178" s="21">
        <f>+D178-306851</f>
        <v>307007</v>
      </c>
      <c r="H178" s="23">
        <f t="shared" si="56"/>
        <v>-0.13527053129081748</v>
      </c>
      <c r="I178" s="24">
        <f t="shared" si="57"/>
        <v>39.52091430527111</v>
      </c>
      <c r="J178" s="24">
        <f t="shared" si="58"/>
        <v>81.33988854067003</v>
      </c>
      <c r="K178" s="21">
        <v>21593950.93</v>
      </c>
      <c r="L178" s="21">
        <v>22665778.85</v>
      </c>
      <c r="M178" s="25">
        <f t="shared" si="59"/>
        <v>-0.04728837809162696</v>
      </c>
      <c r="N178" s="10"/>
      <c r="R178" s="2"/>
    </row>
    <row r="179" spans="1:18" ht="15.75">
      <c r="A179" s="19"/>
      <c r="B179" s="20">
        <f>DATE(2013,12,1)</f>
        <v>41609</v>
      </c>
      <c r="C179" s="21">
        <v>537612</v>
      </c>
      <c r="D179" s="21">
        <v>657595</v>
      </c>
      <c r="E179" s="23">
        <f t="shared" si="55"/>
        <v>-0.18245728754020332</v>
      </c>
      <c r="F179" s="21">
        <f>+C179-278057</f>
        <v>259555</v>
      </c>
      <c r="G179" s="21">
        <f>+D179-328541</f>
        <v>329054</v>
      </c>
      <c r="H179" s="23">
        <f t="shared" si="56"/>
        <v>-0.21120849465437283</v>
      </c>
      <c r="I179" s="24">
        <f t="shared" si="57"/>
        <v>38.0597613892547</v>
      </c>
      <c r="J179" s="24">
        <f t="shared" si="58"/>
        <v>78.83255741557666</v>
      </c>
      <c r="K179" s="21">
        <v>20461384.44</v>
      </c>
      <c r="L179" s="21">
        <v>23436064.84</v>
      </c>
      <c r="M179" s="25">
        <f t="shared" si="59"/>
        <v>-0.12692746927901052</v>
      </c>
      <c r="N179" s="10"/>
      <c r="R179" s="2"/>
    </row>
    <row r="180" spans="1:18" ht="15.75">
      <c r="A180" s="19"/>
      <c r="B180" s="20">
        <f>DATE(2014,1,1)</f>
        <v>41640</v>
      </c>
      <c r="C180" s="21">
        <v>500303</v>
      </c>
      <c r="D180" s="21">
        <v>598042</v>
      </c>
      <c r="E180" s="23">
        <f t="shared" si="55"/>
        <v>-0.16343166533454173</v>
      </c>
      <c r="F180" s="21">
        <f>+C180-263177</f>
        <v>237126</v>
      </c>
      <c r="G180" s="21">
        <f>+D180-298822</f>
        <v>299220</v>
      </c>
      <c r="H180" s="23">
        <f t="shared" si="56"/>
        <v>-0.2075195508321636</v>
      </c>
      <c r="I180" s="24">
        <f t="shared" si="57"/>
        <v>38.344960573892216</v>
      </c>
      <c r="J180" s="24">
        <f t="shared" si="58"/>
        <v>80.90255311522144</v>
      </c>
      <c r="K180" s="21">
        <v>19184098.81</v>
      </c>
      <c r="L180" s="21">
        <v>20796537.22</v>
      </c>
      <c r="M180" s="25">
        <f t="shared" si="59"/>
        <v>-0.07753398524679968</v>
      </c>
      <c r="N180" s="10"/>
      <c r="R180" s="2"/>
    </row>
    <row r="181" spans="1:18" ht="15.75">
      <c r="A181" s="19"/>
      <c r="B181" s="20">
        <f>DATE(2014,2,1)</f>
        <v>41671</v>
      </c>
      <c r="C181" s="21">
        <v>519346</v>
      </c>
      <c r="D181" s="21">
        <v>589256</v>
      </c>
      <c r="E181" s="23">
        <f t="shared" si="55"/>
        <v>-0.118641133904449</v>
      </c>
      <c r="F181" s="21">
        <f>+C181-277043</f>
        <v>242303</v>
      </c>
      <c r="G181" s="21">
        <f>+D181-298225</f>
        <v>291031</v>
      </c>
      <c r="H181" s="23">
        <f t="shared" si="56"/>
        <v>-0.1674323353869519</v>
      </c>
      <c r="I181" s="24">
        <f t="shared" si="57"/>
        <v>38.812810438513054</v>
      </c>
      <c r="J181" s="24">
        <f t="shared" si="58"/>
        <v>83.1903767184063</v>
      </c>
      <c r="K181" s="21">
        <v>20157277.85</v>
      </c>
      <c r="L181" s="21">
        <v>21959097.75</v>
      </c>
      <c r="M181" s="25">
        <f t="shared" si="59"/>
        <v>-0.08205345777469379</v>
      </c>
      <c r="N181" s="10"/>
      <c r="R181" s="2"/>
    </row>
    <row r="182" spans="1:18" ht="15.75">
      <c r="A182" s="19"/>
      <c r="B182" s="20">
        <f>DATE(2014,3,1)</f>
        <v>41699</v>
      </c>
      <c r="C182" s="21">
        <v>588800</v>
      </c>
      <c r="D182" s="21">
        <v>670508</v>
      </c>
      <c r="E182" s="23">
        <f t="shared" si="55"/>
        <v>-0.12185984358128464</v>
      </c>
      <c r="F182" s="21">
        <f>+C182-313314</f>
        <v>275486</v>
      </c>
      <c r="G182" s="21">
        <f>+D182-340900</f>
        <v>329608</v>
      </c>
      <c r="H182" s="23">
        <f t="shared" si="56"/>
        <v>-0.1642011116235043</v>
      </c>
      <c r="I182" s="24">
        <f t="shared" si="57"/>
        <v>39.881612330163044</v>
      </c>
      <c r="J182" s="24">
        <f t="shared" si="58"/>
        <v>85.23951612786131</v>
      </c>
      <c r="K182" s="21">
        <v>23482293.34</v>
      </c>
      <c r="L182" s="21">
        <v>24450769.37</v>
      </c>
      <c r="M182" s="25">
        <f t="shared" si="59"/>
        <v>-0.03960922518815616</v>
      </c>
      <c r="N182" s="10"/>
      <c r="R182" s="2"/>
    </row>
    <row r="183" spans="1:18" ht="15.75">
      <c r="A183" s="19"/>
      <c r="B183" s="20">
        <f>DATE(2014,4,1)</f>
        <v>41730</v>
      </c>
      <c r="C183" s="21">
        <v>529773</v>
      </c>
      <c r="D183" s="21">
        <v>557740</v>
      </c>
      <c r="E183" s="23">
        <f t="shared" si="55"/>
        <v>-0.050143436009610215</v>
      </c>
      <c r="F183" s="21">
        <f>+C183-278650</f>
        <v>251123</v>
      </c>
      <c r="G183" s="21">
        <f>+D183-289697</f>
        <v>268043</v>
      </c>
      <c r="H183" s="23">
        <f t="shared" si="56"/>
        <v>-0.06312420022160624</v>
      </c>
      <c r="I183" s="24">
        <f t="shared" si="57"/>
        <v>41.05787920486699</v>
      </c>
      <c r="J183" s="24">
        <f t="shared" si="58"/>
        <v>86.61634274837431</v>
      </c>
      <c r="K183" s="21">
        <v>21751355.84</v>
      </c>
      <c r="L183" s="21">
        <v>21465298.36</v>
      </c>
      <c r="M183" s="25">
        <f t="shared" si="59"/>
        <v>0.01332650845110361</v>
      </c>
      <c r="N183" s="10"/>
      <c r="R183" s="2"/>
    </row>
    <row r="184" spans="1:18" ht="15.75">
      <c r="A184" s="19"/>
      <c r="B184" s="20">
        <f>DATE(2014,5,1)</f>
        <v>41760</v>
      </c>
      <c r="C184" s="21">
        <v>551260</v>
      </c>
      <c r="D184" s="21">
        <v>566352</v>
      </c>
      <c r="E184" s="23">
        <f t="shared" si="55"/>
        <v>-0.026647738508913183</v>
      </c>
      <c r="F184" s="21">
        <f>+C184-285556</f>
        <v>265704</v>
      </c>
      <c r="G184" s="21">
        <f>+D184-292550</f>
        <v>273802</v>
      </c>
      <c r="H184" s="23">
        <f t="shared" si="56"/>
        <v>-0.029576117048085843</v>
      </c>
      <c r="I184" s="24">
        <f t="shared" si="57"/>
        <v>40.55989222871241</v>
      </c>
      <c r="J184" s="24">
        <f t="shared" si="58"/>
        <v>84.15020545418963</v>
      </c>
      <c r="K184" s="21">
        <v>22359046.19</v>
      </c>
      <c r="L184" s="21">
        <v>21524116.4</v>
      </c>
      <c r="M184" s="25">
        <f t="shared" si="59"/>
        <v>0.03879043276313089</v>
      </c>
      <c r="N184" s="10"/>
      <c r="R184" s="2"/>
    </row>
    <row r="185" spans="1:18" ht="15.75">
      <c r="A185" s="19"/>
      <c r="B185" s="20">
        <f>DATE(2014,6,1)</f>
        <v>41791</v>
      </c>
      <c r="C185" s="21">
        <v>523407</v>
      </c>
      <c r="D185" s="21">
        <v>560402</v>
      </c>
      <c r="E185" s="23">
        <f t="shared" si="55"/>
        <v>-0.06601511058133269</v>
      </c>
      <c r="F185" s="21">
        <f>+C185-270909</f>
        <v>252498</v>
      </c>
      <c r="G185" s="21">
        <f>+D185-290306</f>
        <v>270096</v>
      </c>
      <c r="H185" s="23">
        <f t="shared" si="56"/>
        <v>-0.06515461169362005</v>
      </c>
      <c r="I185" s="24">
        <f t="shared" si="57"/>
        <v>40.5186167170099</v>
      </c>
      <c r="J185" s="24">
        <f t="shared" si="58"/>
        <v>83.99166575576837</v>
      </c>
      <c r="K185" s="21">
        <v>21207727.62</v>
      </c>
      <c r="L185" s="21">
        <v>21980473.6</v>
      </c>
      <c r="M185" s="25">
        <f t="shared" si="59"/>
        <v>-0.03515602047810291</v>
      </c>
      <c r="N185" s="10"/>
      <c r="R185" s="2"/>
    </row>
    <row r="186" spans="1:18" ht="15.75" thickBot="1">
      <c r="A186" s="38"/>
      <c r="B186" s="45"/>
      <c r="C186" s="21"/>
      <c r="D186" s="21"/>
      <c r="E186" s="23"/>
      <c r="F186" s="21"/>
      <c r="G186" s="21"/>
      <c r="H186" s="23"/>
      <c r="I186" s="24"/>
      <c r="J186" s="24"/>
      <c r="K186" s="21"/>
      <c r="L186" s="21"/>
      <c r="M186" s="25"/>
      <c r="N186" s="10"/>
      <c r="R186" s="2"/>
    </row>
    <row r="187" spans="1:18" ht="17.25" thickBot="1" thickTop="1">
      <c r="A187" s="39" t="s">
        <v>14</v>
      </c>
      <c r="B187" s="40"/>
      <c r="C187" s="41">
        <f>SUM(C174:C186)</f>
        <v>6437844</v>
      </c>
      <c r="D187" s="41">
        <f>SUM(D174:D186)</f>
        <v>7399965</v>
      </c>
      <c r="E187" s="286">
        <f>(+C187-D187)/D187</f>
        <v>-0.1300169662964622</v>
      </c>
      <c r="F187" s="41">
        <f>SUM(F174:F186)</f>
        <v>3092866</v>
      </c>
      <c r="G187" s="41">
        <f>SUM(G174:G186)</f>
        <v>3674104</v>
      </c>
      <c r="H187" s="42">
        <f>(+F187-G187)/G187</f>
        <v>-0.15819857031809662</v>
      </c>
      <c r="I187" s="43">
        <f>K187/C187</f>
        <v>39.50870008189077</v>
      </c>
      <c r="J187" s="43">
        <f>K187/F187</f>
        <v>82.2379138863436</v>
      </c>
      <c r="K187" s="41">
        <f>SUM(K174:K186)</f>
        <v>254350847.77</v>
      </c>
      <c r="L187" s="41">
        <f>SUM(L174:L186)</f>
        <v>269998664.91</v>
      </c>
      <c r="M187" s="44">
        <f>(+K187-L187)/L187</f>
        <v>-0.057955164871707716</v>
      </c>
      <c r="N187" s="10"/>
      <c r="R187" s="2"/>
    </row>
    <row r="188" spans="1:18" ht="15.75" customHeight="1" thickTop="1">
      <c r="A188" s="19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5.75">
      <c r="A189" s="19" t="s">
        <v>70</v>
      </c>
      <c r="B189" s="20">
        <f>DATE(2013,7,1)</f>
        <v>41456</v>
      </c>
      <c r="C189" s="21">
        <v>97183</v>
      </c>
      <c r="D189" s="21">
        <v>107191</v>
      </c>
      <c r="E189" s="23">
        <f aca="true" t="shared" si="60" ref="E189:E200">(+C189-D189)/D189</f>
        <v>-0.09336604752264649</v>
      </c>
      <c r="F189" s="21">
        <f>+C189-48052</f>
        <v>49131</v>
      </c>
      <c r="G189" s="21">
        <f>+D189-53326</f>
        <v>53865</v>
      </c>
      <c r="H189" s="23">
        <f aca="true" t="shared" si="61" ref="H189:H200">(+F189-G189)/G189</f>
        <v>-0.08788638262322473</v>
      </c>
      <c r="I189" s="24">
        <f aca="true" t="shared" si="62" ref="I189:I200">K189/C189</f>
        <v>31.215937458197423</v>
      </c>
      <c r="J189" s="24">
        <f aca="true" t="shared" si="63" ref="J189:J200">K189/F189</f>
        <v>61.7463200423358</v>
      </c>
      <c r="K189" s="21">
        <v>3033658.45</v>
      </c>
      <c r="L189" s="21">
        <v>3513989.83</v>
      </c>
      <c r="M189" s="25">
        <f aca="true" t="shared" si="64" ref="M189:M200">(+K189-L189)/L189</f>
        <v>-0.1366911696497425</v>
      </c>
      <c r="N189" s="10"/>
      <c r="R189" s="2"/>
    </row>
    <row r="190" spans="1:18" ht="15.75">
      <c r="A190" s="19"/>
      <c r="B190" s="20">
        <f>DATE(2013,8,1)</f>
        <v>41487</v>
      </c>
      <c r="C190" s="21">
        <v>99168</v>
      </c>
      <c r="D190" s="21">
        <v>103185</v>
      </c>
      <c r="E190" s="23">
        <f t="shared" si="60"/>
        <v>-0.03893007704608228</v>
      </c>
      <c r="F190" s="21">
        <f>+C190-49688</f>
        <v>49480</v>
      </c>
      <c r="G190" s="21">
        <f>+D190-51096</f>
        <v>52089</v>
      </c>
      <c r="H190" s="23">
        <f t="shared" si="61"/>
        <v>-0.050087350496266</v>
      </c>
      <c r="I190" s="24">
        <f t="shared" si="62"/>
        <v>31.87369968134882</v>
      </c>
      <c r="J190" s="24">
        <f t="shared" si="63"/>
        <v>63.88138742926434</v>
      </c>
      <c r="K190" s="21">
        <v>3160851.05</v>
      </c>
      <c r="L190" s="21">
        <v>3293058.54</v>
      </c>
      <c r="M190" s="25">
        <f t="shared" si="64"/>
        <v>-0.040147324559860455</v>
      </c>
      <c r="N190" s="10"/>
      <c r="R190" s="2"/>
    </row>
    <row r="191" spans="1:18" ht="15.75">
      <c r="A191" s="19"/>
      <c r="B191" s="20">
        <f>DATE(2013,9,1)</f>
        <v>41518</v>
      </c>
      <c r="C191" s="21">
        <v>92299</v>
      </c>
      <c r="D191" s="21">
        <v>99750</v>
      </c>
      <c r="E191" s="23">
        <f t="shared" si="60"/>
        <v>-0.0746967418546366</v>
      </c>
      <c r="F191" s="21">
        <f>C191-46130</f>
        <v>46169</v>
      </c>
      <c r="G191" s="21">
        <f>D191-50114</f>
        <v>49636</v>
      </c>
      <c r="H191" s="23">
        <f t="shared" si="61"/>
        <v>-0.0698484970585865</v>
      </c>
      <c r="I191" s="24">
        <f t="shared" si="62"/>
        <v>32.435920865881535</v>
      </c>
      <c r="J191" s="24">
        <f t="shared" si="63"/>
        <v>64.84444237475363</v>
      </c>
      <c r="K191" s="21">
        <v>2993803.06</v>
      </c>
      <c r="L191" s="21">
        <v>3260299.38</v>
      </c>
      <c r="M191" s="25">
        <f t="shared" si="64"/>
        <v>-0.08173983089859675</v>
      </c>
      <c r="N191" s="10"/>
      <c r="R191" s="2"/>
    </row>
    <row r="192" spans="1:18" ht="15.75">
      <c r="A192" s="19"/>
      <c r="B192" s="20">
        <f>DATE(2013,10,1)</f>
        <v>41548</v>
      </c>
      <c r="C192" s="21">
        <v>93567</v>
      </c>
      <c r="D192" s="21">
        <v>98690</v>
      </c>
      <c r="E192" s="23">
        <f t="shared" si="60"/>
        <v>-0.05191002127875165</v>
      </c>
      <c r="F192" s="21">
        <f>C192-45748</f>
        <v>47819</v>
      </c>
      <c r="G192" s="21">
        <f>D192-49516</f>
        <v>49174</v>
      </c>
      <c r="H192" s="23">
        <f t="shared" si="61"/>
        <v>-0.027555212103957376</v>
      </c>
      <c r="I192" s="24">
        <f t="shared" si="62"/>
        <v>33.09899045603685</v>
      </c>
      <c r="J192" s="24">
        <f t="shared" si="63"/>
        <v>64.76449193835087</v>
      </c>
      <c r="K192" s="21">
        <v>3096973.24</v>
      </c>
      <c r="L192" s="21">
        <v>3296902.63</v>
      </c>
      <c r="M192" s="25">
        <f t="shared" si="64"/>
        <v>-0.06064158164112953</v>
      </c>
      <c r="N192" s="10"/>
      <c r="R192" s="2"/>
    </row>
    <row r="193" spans="1:18" ht="15.75">
      <c r="A193" s="19"/>
      <c r="B193" s="20">
        <f>DATE(2013,11,1)</f>
        <v>41579</v>
      </c>
      <c r="C193" s="21">
        <v>92984</v>
      </c>
      <c r="D193" s="21">
        <v>99796</v>
      </c>
      <c r="E193" s="23">
        <f t="shared" si="60"/>
        <v>-0.06825924886769008</v>
      </c>
      <c r="F193" s="21">
        <f>+C193-46573</f>
        <v>46411</v>
      </c>
      <c r="G193" s="21">
        <f>+D193-50642</f>
        <v>49154</v>
      </c>
      <c r="H193" s="23">
        <f t="shared" si="61"/>
        <v>-0.05580420718558001</v>
      </c>
      <c r="I193" s="24">
        <f t="shared" si="62"/>
        <v>31.52085068398864</v>
      </c>
      <c r="J193" s="24">
        <f t="shared" si="63"/>
        <v>63.151726530348405</v>
      </c>
      <c r="K193" s="21">
        <v>2930934.78</v>
      </c>
      <c r="L193" s="21">
        <v>3247633.48</v>
      </c>
      <c r="M193" s="25">
        <f t="shared" si="64"/>
        <v>-0.09751676165131792</v>
      </c>
      <c r="N193" s="10"/>
      <c r="R193" s="2"/>
    </row>
    <row r="194" spans="1:18" ht="15.75">
      <c r="A194" s="19"/>
      <c r="B194" s="20">
        <f>DATE(2013,12,1)</f>
        <v>41609</v>
      </c>
      <c r="C194" s="21">
        <v>89488</v>
      </c>
      <c r="D194" s="21">
        <v>103777</v>
      </c>
      <c r="E194" s="23">
        <f t="shared" si="60"/>
        <v>-0.13768946876475519</v>
      </c>
      <c r="F194" s="21">
        <f>+C194-45008</f>
        <v>44480</v>
      </c>
      <c r="G194" s="21">
        <f>+D194-53124</f>
        <v>50653</v>
      </c>
      <c r="H194" s="23">
        <f t="shared" si="61"/>
        <v>-0.12186839871281069</v>
      </c>
      <c r="I194" s="24">
        <f t="shared" si="62"/>
        <v>32.430632040050064</v>
      </c>
      <c r="J194" s="24">
        <f t="shared" si="63"/>
        <v>65.24623201438848</v>
      </c>
      <c r="K194" s="21">
        <v>2902152.4</v>
      </c>
      <c r="L194" s="21">
        <v>3488853.19</v>
      </c>
      <c r="M194" s="25">
        <f t="shared" si="64"/>
        <v>-0.1681643675009438</v>
      </c>
      <c r="N194" s="10"/>
      <c r="R194" s="2"/>
    </row>
    <row r="195" spans="1:18" ht="15.75">
      <c r="A195" s="19"/>
      <c r="B195" s="20">
        <f>DATE(2014,1,1)</f>
        <v>41640</v>
      </c>
      <c r="C195" s="21">
        <v>90881</v>
      </c>
      <c r="D195" s="21">
        <v>95118</v>
      </c>
      <c r="E195" s="23">
        <f t="shared" si="60"/>
        <v>-0.044544670829916526</v>
      </c>
      <c r="F195" s="21">
        <f>+C195-46695</f>
        <v>44186</v>
      </c>
      <c r="G195" s="21">
        <f>+D195-49408</f>
        <v>45710</v>
      </c>
      <c r="H195" s="23">
        <f t="shared" si="61"/>
        <v>-0.033340625683657844</v>
      </c>
      <c r="I195" s="24">
        <f t="shared" si="62"/>
        <v>32.95377372608136</v>
      </c>
      <c r="J195" s="24">
        <f t="shared" si="63"/>
        <v>67.77875141447518</v>
      </c>
      <c r="K195" s="21">
        <v>2994871.91</v>
      </c>
      <c r="L195" s="21">
        <v>3167563.9</v>
      </c>
      <c r="M195" s="25">
        <f t="shared" si="64"/>
        <v>-0.05451886542841322</v>
      </c>
      <c r="N195" s="10"/>
      <c r="R195" s="2"/>
    </row>
    <row r="196" spans="1:18" ht="15.75">
      <c r="A196" s="19"/>
      <c r="B196" s="20">
        <f>DATE(2014,2,1)</f>
        <v>41671</v>
      </c>
      <c r="C196" s="21">
        <v>102548</v>
      </c>
      <c r="D196" s="21">
        <v>98214</v>
      </c>
      <c r="E196" s="23">
        <f t="shared" si="60"/>
        <v>0.04412812837273709</v>
      </c>
      <c r="F196" s="21">
        <f>+C196-52781</f>
        <v>49767</v>
      </c>
      <c r="G196" s="21">
        <f>+D196-51094</f>
        <v>47120</v>
      </c>
      <c r="H196" s="23">
        <f t="shared" si="61"/>
        <v>0.05617572156196944</v>
      </c>
      <c r="I196" s="24">
        <f t="shared" si="62"/>
        <v>32.8365616101728</v>
      </c>
      <c r="J196" s="24">
        <f t="shared" si="63"/>
        <v>67.66177828681657</v>
      </c>
      <c r="K196" s="21">
        <v>3367323.72</v>
      </c>
      <c r="L196" s="21">
        <v>3316003.2</v>
      </c>
      <c r="M196" s="25">
        <f t="shared" si="64"/>
        <v>0.015476619564178954</v>
      </c>
      <c r="N196" s="10"/>
      <c r="R196" s="2"/>
    </row>
    <row r="197" spans="1:18" ht="15.75">
      <c r="A197" s="19"/>
      <c r="B197" s="20">
        <f>DATE(2014,3,1)</f>
        <v>41699</v>
      </c>
      <c r="C197" s="21">
        <v>109037</v>
      </c>
      <c r="D197" s="21">
        <v>114353</v>
      </c>
      <c r="E197" s="23">
        <f t="shared" si="60"/>
        <v>-0.04648763040759753</v>
      </c>
      <c r="F197" s="21">
        <f>+C197-55184</f>
        <v>53853</v>
      </c>
      <c r="G197" s="21">
        <f>+D197-59138</f>
        <v>55215</v>
      </c>
      <c r="H197" s="23">
        <f t="shared" si="61"/>
        <v>-0.02466720999728335</v>
      </c>
      <c r="I197" s="24">
        <f t="shared" si="62"/>
        <v>33.51613204691986</v>
      </c>
      <c r="J197" s="24">
        <f t="shared" si="63"/>
        <v>67.86062967708392</v>
      </c>
      <c r="K197" s="21">
        <v>3654498.49</v>
      </c>
      <c r="L197" s="21">
        <v>3776242.25</v>
      </c>
      <c r="M197" s="25">
        <f t="shared" si="64"/>
        <v>-0.03223939353996682</v>
      </c>
      <c r="N197" s="10"/>
      <c r="R197" s="2"/>
    </row>
    <row r="198" spans="1:18" ht="15.75">
      <c r="A198" s="19"/>
      <c r="B198" s="20">
        <f>DATE(2014,4,1)</f>
        <v>41730</v>
      </c>
      <c r="C198" s="21">
        <v>102131</v>
      </c>
      <c r="D198" s="21">
        <v>99111</v>
      </c>
      <c r="E198" s="23">
        <f t="shared" si="60"/>
        <v>0.03047088617812352</v>
      </c>
      <c r="F198" s="21">
        <f>+C198-50241</f>
        <v>51890</v>
      </c>
      <c r="G198" s="21">
        <f>+D198-50447</f>
        <v>48664</v>
      </c>
      <c r="H198" s="23">
        <f t="shared" si="61"/>
        <v>0.06629130363307578</v>
      </c>
      <c r="I198" s="24">
        <f t="shared" si="62"/>
        <v>33.03657958895928</v>
      </c>
      <c r="J198" s="24">
        <f t="shared" si="63"/>
        <v>65.02329755251493</v>
      </c>
      <c r="K198" s="21">
        <v>3374058.91</v>
      </c>
      <c r="L198" s="21">
        <v>3404182.26</v>
      </c>
      <c r="M198" s="25">
        <f t="shared" si="64"/>
        <v>-0.008848923970363335</v>
      </c>
      <c r="N198" s="10"/>
      <c r="R198" s="2"/>
    </row>
    <row r="199" spans="1:18" ht="15.75">
      <c r="A199" s="19"/>
      <c r="B199" s="20">
        <f>DATE(2014,5,1)</f>
        <v>41760</v>
      </c>
      <c r="C199" s="21">
        <v>99019</v>
      </c>
      <c r="D199" s="21">
        <v>102237</v>
      </c>
      <c r="E199" s="23">
        <f t="shared" si="60"/>
        <v>-0.031475884464528495</v>
      </c>
      <c r="F199" s="21">
        <f>+C199-48913</f>
        <v>50106</v>
      </c>
      <c r="G199" s="21">
        <f>+D199-51822</f>
        <v>50415</v>
      </c>
      <c r="H199" s="23">
        <f t="shared" si="61"/>
        <v>-0.006129128235644154</v>
      </c>
      <c r="I199" s="24">
        <f t="shared" si="62"/>
        <v>33.42829800341349</v>
      </c>
      <c r="J199" s="24">
        <f t="shared" si="63"/>
        <v>66.06068414960285</v>
      </c>
      <c r="K199" s="21">
        <v>3310036.64</v>
      </c>
      <c r="L199" s="21">
        <v>3377226.85</v>
      </c>
      <c r="M199" s="25">
        <f t="shared" si="64"/>
        <v>-0.01989508344694108</v>
      </c>
      <c r="N199" s="10"/>
      <c r="R199" s="2"/>
    </row>
    <row r="200" spans="1:18" ht="15.75">
      <c r="A200" s="19"/>
      <c r="B200" s="20">
        <f>DATE(2014,6,1)</f>
        <v>41791</v>
      </c>
      <c r="C200" s="21">
        <v>95905</v>
      </c>
      <c r="D200" s="21">
        <v>98934</v>
      </c>
      <c r="E200" s="23">
        <f t="shared" si="60"/>
        <v>-0.030616370509632684</v>
      </c>
      <c r="F200" s="21">
        <f>+C200-46197</f>
        <v>49708</v>
      </c>
      <c r="G200" s="21">
        <f>+D200-49485</f>
        <v>49449</v>
      </c>
      <c r="H200" s="23">
        <f t="shared" si="61"/>
        <v>0.005237719670771907</v>
      </c>
      <c r="I200" s="24">
        <f t="shared" si="62"/>
        <v>32.04833835566446</v>
      </c>
      <c r="J200" s="24">
        <f t="shared" si="63"/>
        <v>61.83302265228937</v>
      </c>
      <c r="K200" s="21">
        <v>3073595.89</v>
      </c>
      <c r="L200" s="21">
        <v>3211959.37</v>
      </c>
      <c r="M200" s="25">
        <f t="shared" si="64"/>
        <v>-0.04307759347528732</v>
      </c>
      <c r="N200" s="10"/>
      <c r="R200" s="2"/>
    </row>
    <row r="201" spans="1:18" ht="15.75" thickBot="1">
      <c r="A201" s="38"/>
      <c r="B201" s="45"/>
      <c r="C201" s="21"/>
      <c r="D201" s="21"/>
      <c r="E201" s="23"/>
      <c r="F201" s="21"/>
      <c r="G201" s="21"/>
      <c r="H201" s="23"/>
      <c r="I201" s="24"/>
      <c r="J201" s="24"/>
      <c r="K201" s="21"/>
      <c r="L201" s="21"/>
      <c r="M201" s="25"/>
      <c r="N201" s="10"/>
      <c r="R201" s="2"/>
    </row>
    <row r="202" spans="1:18" ht="17.25" thickBot="1" thickTop="1">
      <c r="A202" s="26" t="s">
        <v>14</v>
      </c>
      <c r="B202" s="27"/>
      <c r="C202" s="28">
        <f>SUM(C189:C201)</f>
        <v>1164210</v>
      </c>
      <c r="D202" s="28">
        <f>SUM(D189:D201)</f>
        <v>1220356</v>
      </c>
      <c r="E202" s="286">
        <f>(+C202-D202)/D202</f>
        <v>-0.04600788622336433</v>
      </c>
      <c r="F202" s="28">
        <f>SUM(F189:F201)</f>
        <v>583000</v>
      </c>
      <c r="G202" s="28">
        <f>SUM(G189:G201)</f>
        <v>601144</v>
      </c>
      <c r="H202" s="42">
        <f>(+F202-G202)/G202</f>
        <v>-0.030182452124615733</v>
      </c>
      <c r="I202" s="43">
        <f>K202/C202</f>
        <v>32.54804420164747</v>
      </c>
      <c r="J202" s="43">
        <f>K202/F202</f>
        <v>64.99615530017152</v>
      </c>
      <c r="K202" s="28">
        <f>SUM(K189:K201)</f>
        <v>37892758.54</v>
      </c>
      <c r="L202" s="28">
        <f>SUM(L189:L201)</f>
        <v>40353914.879999995</v>
      </c>
      <c r="M202" s="44">
        <f>(+K202-L202)/L202</f>
        <v>-0.06098928312949835</v>
      </c>
      <c r="N202" s="10"/>
      <c r="R202" s="2"/>
    </row>
    <row r="203" spans="1:18" ht="16.5" thickBot="1" thickTop="1">
      <c r="A203" s="63"/>
      <c r="B203" s="34"/>
      <c r="C203" s="35"/>
      <c r="D203" s="35"/>
      <c r="E203" s="29"/>
      <c r="F203" s="35"/>
      <c r="G203" s="35"/>
      <c r="H203" s="29"/>
      <c r="I203" s="36"/>
      <c r="J203" s="36"/>
      <c r="K203" s="35"/>
      <c r="L203" s="35"/>
      <c r="M203" s="37"/>
      <c r="N203" s="10"/>
      <c r="R203" s="2"/>
    </row>
    <row r="204" spans="1:18" ht="17.25" thickBot="1" thickTop="1">
      <c r="A204" s="64" t="s">
        <v>20</v>
      </c>
      <c r="B204" s="65"/>
      <c r="C204" s="28">
        <f>C202+C187+C82+C112+C127+C52+C22+C142+C157+C67+C172+C37+C97</f>
        <v>44838441</v>
      </c>
      <c r="D204" s="28">
        <f>D202+D187+D82+D112+D127+D52+D22+D142+D157+D67+D172+D37+D97</f>
        <v>48891723</v>
      </c>
      <c r="E204" s="285">
        <f>(+C204-D204)/D204</f>
        <v>-0.08290323497087636</v>
      </c>
      <c r="F204" s="28">
        <f>F202+F187+F82+F112+F127+F52+F22+F142+F157+F67+F172+F37+F97</f>
        <v>22167318</v>
      </c>
      <c r="G204" s="28">
        <f>G202+G187+G82+G112+G127+G52+G22+G142+G157+G67+G172+G37+G97</f>
        <v>24002551</v>
      </c>
      <c r="H204" s="30">
        <f>(+F204-G204)/G204</f>
        <v>-0.07645991461490906</v>
      </c>
      <c r="I204" s="31">
        <f>K204/C204</f>
        <v>37.076924993667824</v>
      </c>
      <c r="J204" s="31">
        <f>K204/F204</f>
        <v>74.99651125093257</v>
      </c>
      <c r="K204" s="28">
        <f>K202+K187+K82+K112+K127+K52+K22+K142+K157+K67+K172+K37+K97</f>
        <v>1662471513.79</v>
      </c>
      <c r="L204" s="28">
        <f>L202+L187+L82+L112+L127+L52+L22+L142+L157+L67+L172+L37+L97</f>
        <v>1744143305.4099998</v>
      </c>
      <c r="M204" s="32">
        <f>(+K204-L204)/L204</f>
        <v>-0.04682630800271375</v>
      </c>
      <c r="N204" s="10"/>
      <c r="R204" s="2"/>
    </row>
    <row r="205" spans="1:18" ht="17.25" thickBot="1" thickTop="1">
      <c r="A205" s="64"/>
      <c r="B205" s="65"/>
      <c r="C205" s="28"/>
      <c r="D205" s="28"/>
      <c r="E205" s="29"/>
      <c r="F205" s="28"/>
      <c r="G205" s="28"/>
      <c r="H205" s="30"/>
      <c r="I205" s="31"/>
      <c r="J205" s="31"/>
      <c r="K205" s="28"/>
      <c r="L205" s="28"/>
      <c r="M205" s="32"/>
      <c r="N205" s="10"/>
      <c r="R205" s="2"/>
    </row>
    <row r="206" spans="1:18" ht="17.25" thickBot="1" thickTop="1">
      <c r="A206" s="64" t="s">
        <v>21</v>
      </c>
      <c r="B206" s="65"/>
      <c r="C206" s="28">
        <f>+C20+C35+C50+C65+C80+C95+C110+C125+C140+C155+C170+C185+C200</f>
        <v>3568690</v>
      </c>
      <c r="D206" s="28">
        <f>+D20+D35+D50+D65+D80+D95+D110+D125+D140+D155+D170+D185+D200</f>
        <v>3807244</v>
      </c>
      <c r="E206" s="285">
        <f>(+C206-D206)/D206</f>
        <v>-0.0626579226338002</v>
      </c>
      <c r="F206" s="28">
        <f>+F20+F35+F50+F65+F80+F95+F110+F125+F140+F155+F170+F185+F200</f>
        <v>1794113</v>
      </c>
      <c r="G206" s="28">
        <f>+G20+G35+G50+G65+G80+G95+G110+G125+G140+G155+G170+G185+G200</f>
        <v>1887141</v>
      </c>
      <c r="H206" s="30">
        <f>(+F206-G206)/G206</f>
        <v>-0.04929573359913223</v>
      </c>
      <c r="I206" s="31">
        <f>K206/C206</f>
        <v>37.41238692069079</v>
      </c>
      <c r="J206" s="31">
        <f>K206/F206</f>
        <v>74.41739237160648</v>
      </c>
      <c r="K206" s="28">
        <f>+K20+K35+K50+K65+K80+K95+K110+K125+K140+K155+K170+K185+K200</f>
        <v>133513211.08000001</v>
      </c>
      <c r="L206" s="28">
        <f>+L20+L35+L50+L65+L80+L95+L110+L125+L140+L155+L170+L185+L200</f>
        <v>138310197.82999998</v>
      </c>
      <c r="M206" s="44">
        <f>(+K206-L206)/L206</f>
        <v>-0.03468281316390024</v>
      </c>
      <c r="N206" s="10"/>
      <c r="R206" s="2"/>
    </row>
    <row r="207" spans="1:18" ht="15.75" thickTop="1">
      <c r="A207" s="66"/>
      <c r="B207" s="67"/>
      <c r="C207" s="68"/>
      <c r="D207" s="67"/>
      <c r="E207" s="67"/>
      <c r="F207" s="67"/>
      <c r="G207" s="67"/>
      <c r="H207" s="67"/>
      <c r="I207" s="67"/>
      <c r="J207" s="67"/>
      <c r="K207" s="68"/>
      <c r="L207" s="68"/>
      <c r="M207" s="67"/>
      <c r="R207" s="2"/>
    </row>
    <row r="208" spans="1:18" ht="15.75">
      <c r="A208" s="276" t="s">
        <v>63</v>
      </c>
      <c r="B208" s="261"/>
      <c r="C208" s="262"/>
      <c r="D208" s="261"/>
      <c r="E208" s="261"/>
      <c r="F208" s="261"/>
      <c r="G208" s="261"/>
      <c r="H208" s="261"/>
      <c r="I208" s="261"/>
      <c r="J208" s="261"/>
      <c r="K208" s="262"/>
      <c r="L208" s="262"/>
      <c r="M208" s="261"/>
      <c r="R208" s="2"/>
    </row>
    <row r="209" spans="1:18" ht="15.75">
      <c r="A209" s="256" t="s">
        <v>69</v>
      </c>
      <c r="B209" s="258"/>
      <c r="C209" s="259"/>
      <c r="D209" s="259"/>
      <c r="E209" s="259"/>
      <c r="F209" s="260"/>
      <c r="G209" s="257"/>
      <c r="H209" s="257"/>
      <c r="I209" s="261"/>
      <c r="J209" s="261"/>
      <c r="K209" s="262"/>
      <c r="L209" s="262"/>
      <c r="M209" s="261"/>
      <c r="R209" s="2"/>
    </row>
    <row r="210" spans="1:18" ht="15.75">
      <c r="A210" s="256" t="s">
        <v>75</v>
      </c>
      <c r="B210" s="258"/>
      <c r="C210" s="259"/>
      <c r="D210" s="259"/>
      <c r="E210" s="259"/>
      <c r="F210" s="260"/>
      <c r="G210" s="257"/>
      <c r="H210" s="257"/>
      <c r="I210" s="261"/>
      <c r="J210" s="261"/>
      <c r="K210" s="262"/>
      <c r="L210" s="262"/>
      <c r="M210" s="261"/>
      <c r="R210" s="2"/>
    </row>
    <row r="211" spans="1:18" ht="18.75">
      <c r="A211" s="266" t="s">
        <v>22</v>
      </c>
      <c r="B211" s="70"/>
      <c r="C211" s="71"/>
      <c r="D211" s="71"/>
      <c r="E211" s="71"/>
      <c r="F211" s="71"/>
      <c r="G211" s="71"/>
      <c r="H211" s="71"/>
      <c r="I211" s="71"/>
      <c r="J211" s="71"/>
      <c r="K211" s="198"/>
      <c r="L211" s="198"/>
      <c r="M211" s="71"/>
      <c r="N211" s="2"/>
      <c r="O211" s="2"/>
      <c r="P211" s="2"/>
      <c r="Q211" s="2"/>
      <c r="R211" s="2"/>
    </row>
    <row r="212" spans="1:18" ht="18">
      <c r="A212" s="69"/>
      <c r="B212" s="70"/>
      <c r="C212" s="71"/>
      <c r="D212" s="71"/>
      <c r="E212" s="71"/>
      <c r="F212" s="71"/>
      <c r="G212" s="71"/>
      <c r="H212" s="71"/>
      <c r="I212" s="71"/>
      <c r="J212" s="71"/>
      <c r="K212" s="198"/>
      <c r="L212" s="198"/>
      <c r="M212" s="71"/>
      <c r="N212" s="2"/>
      <c r="O212" s="2"/>
      <c r="P212" s="2"/>
      <c r="Q212" s="2"/>
      <c r="R212" s="2"/>
    </row>
    <row r="213" spans="1:18" ht="15.75">
      <c r="A213" s="72"/>
      <c r="B213" s="73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73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73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73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73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73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73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73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4"/>
      <c r="N222" s="2"/>
      <c r="O222" s="2"/>
      <c r="P222" s="2"/>
      <c r="Q222" s="2"/>
      <c r="R222" s="2"/>
    </row>
    <row r="223" spans="1:18" ht="15">
      <c r="A223" s="2"/>
      <c r="B223" s="73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4"/>
      <c r="N223" s="2"/>
      <c r="O223" s="2"/>
      <c r="P223" s="2"/>
      <c r="Q223" s="2"/>
      <c r="R223" s="2"/>
    </row>
    <row r="224" spans="1:18" ht="15">
      <c r="A224" s="2"/>
      <c r="B224" s="70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4"/>
      <c r="N224" s="2"/>
      <c r="O224" s="2"/>
      <c r="P224" s="2"/>
      <c r="Q224" s="2"/>
      <c r="R224" s="2"/>
    </row>
    <row r="225" spans="1:18" ht="15.75">
      <c r="A225" s="76"/>
      <c r="B225" s="70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.75">
      <c r="A226" s="76"/>
      <c r="B226" s="70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.75">
      <c r="A227" s="76"/>
      <c r="B227" s="70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70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.75">
      <c r="A229" s="76"/>
      <c r="B229" s="73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73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73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77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77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77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.75">
      <c r="A242" s="76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.75">
      <c r="A245" s="76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.75">
      <c r="A246" s="76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.75">
      <c r="A247" s="76"/>
      <c r="B247" s="77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77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77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77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77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77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77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77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77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77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.75">
      <c r="A260" s="76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.75">
      <c r="A263" s="76"/>
      <c r="B263" s="77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77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77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.75">
      <c r="A269" s="76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.75">
      <c r="A272" s="76"/>
      <c r="B272" s="76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74"/>
      <c r="D340" s="74"/>
      <c r="E340" s="74"/>
      <c r="F340" s="74"/>
      <c r="G340" s="74"/>
      <c r="H340" s="74"/>
      <c r="I340" s="74"/>
      <c r="J340" s="74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74"/>
      <c r="D341" s="74"/>
      <c r="E341" s="74"/>
      <c r="F341" s="74"/>
      <c r="G341" s="74"/>
      <c r="H341" s="74"/>
      <c r="I341" s="74"/>
      <c r="J341" s="74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74"/>
      <c r="D342" s="74"/>
      <c r="E342" s="74"/>
      <c r="F342" s="74"/>
      <c r="G342" s="74"/>
      <c r="H342" s="74"/>
      <c r="I342" s="74"/>
      <c r="J342" s="74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74"/>
      <c r="D343" s="74"/>
      <c r="E343" s="74"/>
      <c r="F343" s="74"/>
      <c r="G343" s="74"/>
      <c r="H343" s="74"/>
      <c r="I343" s="74"/>
      <c r="J343" s="74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74"/>
      <c r="D344" s="74"/>
      <c r="E344" s="74"/>
      <c r="F344" s="74"/>
      <c r="G344" s="74"/>
      <c r="H344" s="74"/>
      <c r="I344" s="74"/>
      <c r="J344" s="74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74"/>
      <c r="D345" s="74"/>
      <c r="E345" s="74"/>
      <c r="F345" s="74"/>
      <c r="G345" s="74"/>
      <c r="H345" s="74"/>
      <c r="I345" s="74"/>
      <c r="J345" s="74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74"/>
      <c r="D346" s="74"/>
      <c r="E346" s="74"/>
      <c r="F346" s="74"/>
      <c r="G346" s="74"/>
      <c r="H346" s="74"/>
      <c r="I346" s="74"/>
      <c r="J346" s="74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74"/>
      <c r="D347" s="74"/>
      <c r="E347" s="74"/>
      <c r="F347" s="74"/>
      <c r="G347" s="74"/>
      <c r="H347" s="74"/>
      <c r="I347" s="74"/>
      <c r="J347" s="74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74"/>
      <c r="D348" s="74"/>
      <c r="E348" s="74"/>
      <c r="F348" s="74"/>
      <c r="G348" s="74"/>
      <c r="H348" s="74"/>
      <c r="I348" s="74"/>
      <c r="J348" s="74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74"/>
      <c r="D349" s="74"/>
      <c r="E349" s="74"/>
      <c r="F349" s="74"/>
      <c r="G349" s="74"/>
      <c r="H349" s="74"/>
      <c r="I349" s="74"/>
      <c r="J349" s="74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74"/>
      <c r="D350" s="74"/>
      <c r="E350" s="74"/>
      <c r="F350" s="74"/>
      <c r="G350" s="74"/>
      <c r="H350" s="74"/>
      <c r="I350" s="74"/>
      <c r="J350" s="74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74"/>
      <c r="D351" s="74"/>
      <c r="E351" s="74"/>
      <c r="F351" s="74"/>
      <c r="G351" s="74"/>
      <c r="H351" s="74"/>
      <c r="I351" s="74"/>
      <c r="J351" s="74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74"/>
      <c r="D352" s="74"/>
      <c r="E352" s="74"/>
      <c r="F352" s="74"/>
      <c r="G352" s="74"/>
      <c r="H352" s="74"/>
      <c r="I352" s="74"/>
      <c r="J352" s="74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74"/>
      <c r="D353" s="74"/>
      <c r="E353" s="74"/>
      <c r="F353" s="74"/>
      <c r="G353" s="74"/>
      <c r="H353" s="74"/>
      <c r="I353" s="74"/>
      <c r="J353" s="74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74"/>
      <c r="D354" s="74"/>
      <c r="E354" s="74"/>
      <c r="F354" s="74"/>
      <c r="G354" s="74"/>
      <c r="H354" s="74"/>
      <c r="I354" s="74"/>
      <c r="J354" s="74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74"/>
      <c r="D355" s="74"/>
      <c r="E355" s="74"/>
      <c r="F355" s="74"/>
      <c r="G355" s="74"/>
      <c r="H355" s="74"/>
      <c r="I355" s="74"/>
      <c r="J355" s="74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  <row r="466" spans="1:18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92"/>
      <c r="L466" s="192"/>
      <c r="M466" s="75"/>
      <c r="N466" s="2"/>
      <c r="O466" s="2"/>
      <c r="P466" s="2"/>
      <c r="Q466" s="2"/>
      <c r="R466" s="2"/>
    </row>
    <row r="467" spans="1:18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92"/>
      <c r="L467" s="192"/>
      <c r="M467" s="75"/>
      <c r="N467" s="2"/>
      <c r="O467" s="2"/>
      <c r="P467" s="2"/>
      <c r="Q467" s="2"/>
      <c r="R467" s="2"/>
    </row>
    <row r="468" spans="1:18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92"/>
      <c r="L468" s="192"/>
      <c r="M468" s="75"/>
      <c r="N468" s="2"/>
      <c r="O468" s="2"/>
      <c r="P468" s="2"/>
      <c r="Q468" s="2"/>
      <c r="R468" s="2"/>
    </row>
    <row r="469" spans="1:18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92"/>
      <c r="L469" s="192"/>
      <c r="M469" s="75"/>
      <c r="N469" s="2"/>
      <c r="O469" s="2"/>
      <c r="P469" s="2"/>
      <c r="Q469" s="2"/>
      <c r="R469" s="2"/>
    </row>
    <row r="470" spans="1:18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92"/>
      <c r="L470" s="192"/>
      <c r="M470" s="75"/>
      <c r="N470" s="2"/>
      <c r="O470" s="2"/>
      <c r="P470" s="2"/>
      <c r="Q470" s="2"/>
      <c r="R470" s="2"/>
    </row>
    <row r="471" spans="1:18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92"/>
      <c r="L471" s="192"/>
      <c r="M471" s="75"/>
      <c r="N471" s="2"/>
      <c r="O471" s="2"/>
      <c r="P471" s="2"/>
      <c r="Q471" s="2"/>
      <c r="R471" s="2"/>
    </row>
    <row r="472" spans="1:18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92"/>
      <c r="L472" s="192"/>
      <c r="M472" s="75"/>
      <c r="N472" s="2"/>
      <c r="O472" s="2"/>
      <c r="P472" s="2"/>
      <c r="Q472" s="2"/>
      <c r="R472" s="2"/>
    </row>
    <row r="473" spans="1:18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92"/>
      <c r="L473" s="192"/>
      <c r="M473" s="75"/>
      <c r="N473" s="2"/>
      <c r="O473" s="2"/>
      <c r="P473" s="2"/>
      <c r="Q473" s="2"/>
      <c r="R473" s="2"/>
    </row>
    <row r="474" spans="1:18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92"/>
      <c r="L474" s="192"/>
      <c r="M474" s="75"/>
      <c r="N474" s="2"/>
      <c r="O474" s="2"/>
      <c r="P474" s="2"/>
      <c r="Q474" s="2"/>
      <c r="R474" s="2"/>
    </row>
    <row r="475" spans="1:18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92"/>
      <c r="L475" s="192"/>
      <c r="M475" s="75"/>
      <c r="N475" s="2"/>
      <c r="O475" s="2"/>
      <c r="P475" s="2"/>
      <c r="Q475" s="2"/>
      <c r="R475" s="2"/>
    </row>
    <row r="476" spans="1:18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92"/>
      <c r="L476" s="192"/>
      <c r="M476" s="75"/>
      <c r="N476" s="2"/>
      <c r="O476" s="2"/>
      <c r="P476" s="2"/>
      <c r="Q476" s="2"/>
      <c r="R476" s="2"/>
    </row>
    <row r="477" spans="1:18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92"/>
      <c r="L477" s="192"/>
      <c r="M477" s="75"/>
      <c r="N477" s="2"/>
      <c r="O477" s="2"/>
      <c r="P477" s="2"/>
      <c r="Q477" s="2"/>
      <c r="R477" s="2"/>
    </row>
    <row r="478" spans="1:18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92"/>
      <c r="L478" s="192"/>
      <c r="M478" s="75"/>
      <c r="N478" s="2"/>
      <c r="O478" s="2"/>
      <c r="P478" s="2"/>
      <c r="Q478" s="2"/>
      <c r="R478" s="2"/>
    </row>
    <row r="479" spans="1:18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92"/>
      <c r="L479" s="192"/>
      <c r="M479" s="75"/>
      <c r="N479" s="2"/>
      <c r="O479" s="2"/>
      <c r="P479" s="2"/>
      <c r="Q479" s="2"/>
      <c r="R479" s="2"/>
    </row>
    <row r="480" spans="1:18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92"/>
      <c r="L480" s="192"/>
      <c r="M480" s="75"/>
      <c r="N480" s="2"/>
      <c r="O480" s="2"/>
      <c r="P480" s="2"/>
      <c r="Q480" s="2"/>
      <c r="R480" s="2"/>
    </row>
    <row r="481" spans="1:18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92"/>
      <c r="L481" s="192"/>
      <c r="M481" s="75"/>
      <c r="N481" s="2"/>
      <c r="O481" s="2"/>
      <c r="P481" s="2"/>
      <c r="Q481" s="2"/>
      <c r="R481" s="2"/>
    </row>
  </sheetData>
  <sheetProtection/>
  <printOptions horizontalCentered="1"/>
  <pageMargins left="0.7" right="0.25" top="0.319444444444444" bottom="0.2" header="0.5" footer="0.25"/>
  <pageSetup horizontalDpi="600" verticalDpi="600" orientation="landscape" scale="65" r:id="rId1"/>
  <rowBreaks count="4" manualBreakCount="4">
    <brk id="52" max="12" man="1"/>
    <brk id="97" max="12" man="1"/>
    <brk id="142" max="12" man="1"/>
    <brk id="1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8" t="s">
        <v>80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9" t="s">
        <v>66</v>
      </c>
      <c r="F7" s="84" t="s">
        <v>16</v>
      </c>
      <c r="G7" s="84" t="s">
        <v>62</v>
      </c>
      <c r="H7" s="84" t="s">
        <v>17</v>
      </c>
      <c r="I7" s="84" t="s">
        <v>55</v>
      </c>
      <c r="J7" s="84" t="s">
        <v>27</v>
      </c>
      <c r="K7" s="84" t="s">
        <v>58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80" t="s">
        <v>67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DATE(2013,7,1)</f>
        <v>41456</v>
      </c>
      <c r="B10" s="89">
        <f>'MONTHLY STATS'!$C$9*2</f>
        <v>639432</v>
      </c>
      <c r="C10" s="89">
        <f>'MONTHLY STATS'!$C$24*2</f>
        <v>334924</v>
      </c>
      <c r="D10" s="89">
        <f>'MONTHLY STATS'!$C$39*2</f>
        <v>150422</v>
      </c>
      <c r="E10" s="89">
        <f>'MONTHLY STATS'!$C$54*2</f>
        <v>1055968</v>
      </c>
      <c r="F10" s="89">
        <f>'MONTHLY STATS'!$C$69*2</f>
        <v>656580</v>
      </c>
      <c r="G10" s="89">
        <f>'MONTHLY STATS'!$C$84*2</f>
        <v>331902</v>
      </c>
      <c r="H10" s="89">
        <f>'MONTHLY STATS'!$C$99*2</f>
        <v>477428</v>
      </c>
      <c r="I10" s="89">
        <f>'MONTHLY STATS'!$C$114*2</f>
        <v>753758</v>
      </c>
      <c r="J10" s="89">
        <f>'MONTHLY STATS'!$C$129*2</f>
        <v>1005644</v>
      </c>
      <c r="K10" s="89">
        <f>'MONTHLY STATS'!$C$144*2</f>
        <v>956670</v>
      </c>
      <c r="L10" s="89">
        <f>'MONTHLY STATS'!$C$159*2</f>
        <v>173892</v>
      </c>
      <c r="M10" s="89">
        <f>'MONTHLY STATS'!$C$174*2</f>
        <v>1114708</v>
      </c>
      <c r="N10" s="89">
        <f>'MONTHLY STATS'!$C$189*2</f>
        <v>194366</v>
      </c>
      <c r="O10" s="90">
        <f aca="true" t="shared" si="0" ref="O10:O15">SUM(B10:N10)</f>
        <v>7845694</v>
      </c>
      <c r="P10" s="83"/>
    </row>
    <row r="11" spans="1:16" ht="15.75">
      <c r="A11" s="88">
        <f>DATE(2013,8,1)</f>
        <v>41487</v>
      </c>
      <c r="B11" s="89">
        <f>'MONTHLY STATS'!$C$10*2</f>
        <v>632864</v>
      </c>
      <c r="C11" s="89">
        <f>'MONTHLY STATS'!$C$25*2</f>
        <v>361628</v>
      </c>
      <c r="D11" s="89">
        <f>'MONTHLY STATS'!$C$40*2</f>
        <v>148260</v>
      </c>
      <c r="E11" s="89">
        <f>'MONTHLY STATS'!$C$55*2</f>
        <v>992484</v>
      </c>
      <c r="F11" s="89">
        <f>'MONTHLY STATS'!$C$70*2</f>
        <v>679542</v>
      </c>
      <c r="G11" s="89">
        <f>'MONTHLY STATS'!$C$85*2</f>
        <v>351394</v>
      </c>
      <c r="H11" s="89">
        <f>'MONTHLY STATS'!$C$100*2</f>
        <v>485390</v>
      </c>
      <c r="I11" s="89">
        <f>'MONTHLY STATS'!$C$115*2</f>
        <v>798368</v>
      </c>
      <c r="J11" s="89">
        <f>'MONTHLY STATS'!$C$130*2</f>
        <v>1133454</v>
      </c>
      <c r="K11" s="89">
        <f>'MONTHLY STATS'!$C$145*2</f>
        <v>1058780</v>
      </c>
      <c r="L11" s="89">
        <f>'MONTHLY STATS'!$C$160*2</f>
        <v>179766</v>
      </c>
      <c r="M11" s="89">
        <f>'MONTHLY STATS'!$C$175*2</f>
        <v>1116486</v>
      </c>
      <c r="N11" s="89">
        <f>'MONTHLY STATS'!$C$190*2</f>
        <v>198336</v>
      </c>
      <c r="O11" s="90">
        <f t="shared" si="0"/>
        <v>8136752</v>
      </c>
      <c r="P11" s="83"/>
    </row>
    <row r="12" spans="1:16" ht="15.75">
      <c r="A12" s="88">
        <f>DATE(2013,9,1)</f>
        <v>41518</v>
      </c>
      <c r="B12" s="89">
        <f>'MONTHLY STATS'!$C$11*2</f>
        <v>564680</v>
      </c>
      <c r="C12" s="89">
        <f>'MONTHLY STATS'!$C$26*2</f>
        <v>332686</v>
      </c>
      <c r="D12" s="89">
        <f>'MONTHLY STATS'!$C$41*2</f>
        <v>132652</v>
      </c>
      <c r="E12" s="89">
        <f>'MONTHLY STATS'!$C$56*2</f>
        <v>926850</v>
      </c>
      <c r="F12" s="89">
        <f>'MONTHLY STATS'!$C$71*2</f>
        <v>642904</v>
      </c>
      <c r="G12" s="89">
        <f>'MONTHLY STATS'!$C$86*2</f>
        <v>289512</v>
      </c>
      <c r="H12" s="89">
        <f>'MONTHLY STATS'!$C$101*2</f>
        <v>446532</v>
      </c>
      <c r="I12" s="89">
        <f>'MONTHLY STATS'!$C$116*2</f>
        <v>745420</v>
      </c>
      <c r="J12" s="89">
        <f>'MONTHLY STATS'!$C$131*2</f>
        <v>943920</v>
      </c>
      <c r="K12" s="89">
        <f>'MONTHLY STATS'!$C$146*2</f>
        <v>1011628</v>
      </c>
      <c r="L12" s="89">
        <f>'MONTHLY STATS'!$C$161*2</f>
        <v>167232</v>
      </c>
      <c r="M12" s="89">
        <f>'MONTHLY STATS'!$C$176*2</f>
        <v>1034882</v>
      </c>
      <c r="N12" s="89">
        <f>'MONTHLY STATS'!$C$191*2</f>
        <v>184598</v>
      </c>
      <c r="O12" s="90">
        <f t="shared" si="0"/>
        <v>7423496</v>
      </c>
      <c r="P12" s="83"/>
    </row>
    <row r="13" spans="1:16" ht="15.75">
      <c r="A13" s="88">
        <f>DATE(2013,10,1)</f>
        <v>41548</v>
      </c>
      <c r="B13" s="89">
        <f>'MONTHLY STATS'!$C$12*2</f>
        <v>536668</v>
      </c>
      <c r="C13" s="89">
        <f>'MONTHLY STATS'!$C$27*2</f>
        <v>307750</v>
      </c>
      <c r="D13" s="89">
        <f>'MONTHLY STATS'!$C$42*2</f>
        <v>125408</v>
      </c>
      <c r="E13" s="89">
        <f>'MONTHLY STATS'!$C$57*2</f>
        <v>902540</v>
      </c>
      <c r="F13" s="89">
        <f>'MONTHLY STATS'!$C$72*2</f>
        <v>648252</v>
      </c>
      <c r="G13" s="89">
        <f>'MONTHLY STATS'!$C$87*2</f>
        <v>263894</v>
      </c>
      <c r="H13" s="89">
        <f>'MONTHLY STATS'!$C$102*2</f>
        <v>440584</v>
      </c>
      <c r="I13" s="89">
        <f>'MONTHLY STATS'!$C$117*2</f>
        <v>714774</v>
      </c>
      <c r="J13" s="89">
        <f>'MONTHLY STATS'!$C$132*2</f>
        <v>916550</v>
      </c>
      <c r="K13" s="89">
        <f>'MONTHLY STATS'!$C$147*2</f>
        <v>978668</v>
      </c>
      <c r="L13" s="89">
        <f>'MONTHLY STATS'!$C$162*2</f>
        <v>160770</v>
      </c>
      <c r="M13" s="89">
        <f>'MONTHLY STATS'!$C$177*2</f>
        <v>1015824</v>
      </c>
      <c r="N13" s="89">
        <f>'MONTHLY STATS'!$C$192*2</f>
        <v>187134</v>
      </c>
      <c r="O13" s="90">
        <f t="shared" si="0"/>
        <v>7198816</v>
      </c>
      <c r="P13" s="83"/>
    </row>
    <row r="14" spans="1:16" ht="15.75">
      <c r="A14" s="88">
        <f>DATE(2013,11,1)</f>
        <v>41579</v>
      </c>
      <c r="B14" s="89">
        <f>'MONTHLY STATS'!$C$13*2</f>
        <v>535766</v>
      </c>
      <c r="C14" s="89">
        <f>'MONTHLY STATS'!$C$28*2</f>
        <v>315980</v>
      </c>
      <c r="D14" s="89">
        <f>'MONTHLY STATS'!$C$43*2</f>
        <v>130296</v>
      </c>
      <c r="E14" s="89">
        <f>'MONTHLY STATS'!$C$58*2</f>
        <v>923236</v>
      </c>
      <c r="F14" s="89">
        <f>'MONTHLY STATS'!$C$73*2</f>
        <v>669202</v>
      </c>
      <c r="G14" s="89">
        <f>'MONTHLY STATS'!$C$88*2</f>
        <v>285440</v>
      </c>
      <c r="H14" s="89">
        <f>'MONTHLY STATS'!$C$103*2</f>
        <v>414716</v>
      </c>
      <c r="I14" s="89">
        <f>'MONTHLY STATS'!$C$118*2</f>
        <v>759226</v>
      </c>
      <c r="J14" s="89">
        <f>'MONTHLY STATS'!$C$133*2</f>
        <v>968260</v>
      </c>
      <c r="K14" s="89">
        <f>'MONTHLY STATS'!$C$148*2</f>
        <v>1046286</v>
      </c>
      <c r="L14" s="89">
        <f>'MONTHLY STATS'!$C$163*2</f>
        <v>170108</v>
      </c>
      <c r="M14" s="89">
        <f>'MONTHLY STATS'!$C$178*2</f>
        <v>1092786</v>
      </c>
      <c r="N14" s="89">
        <f>'MONTHLY STATS'!$C$193*2</f>
        <v>185968</v>
      </c>
      <c r="O14" s="90">
        <f t="shared" si="0"/>
        <v>7497270</v>
      </c>
      <c r="P14" s="83"/>
    </row>
    <row r="15" spans="1:16" ht="15.75">
      <c r="A15" s="88">
        <f>DATE(2013,12,1)</f>
        <v>41609</v>
      </c>
      <c r="B15" s="89">
        <f>'MONTHLY STATS'!$C$14*2</f>
        <v>511726</v>
      </c>
      <c r="C15" s="89">
        <f>'MONTHLY STATS'!$C$29*2</f>
        <v>284824</v>
      </c>
      <c r="D15" s="89">
        <f>'MONTHLY STATS'!$C$44*2</f>
        <v>118060</v>
      </c>
      <c r="E15" s="89">
        <f>'MONTHLY STATS'!$C$59*2</f>
        <v>916784</v>
      </c>
      <c r="F15" s="89">
        <f>'MONTHLY STATS'!$C$74*2</f>
        <v>603638</v>
      </c>
      <c r="G15" s="89">
        <f>'MONTHLY STATS'!$C$89*2</f>
        <v>279210</v>
      </c>
      <c r="H15" s="89">
        <f>'MONTHLY STATS'!$C$104*2</f>
        <v>382190</v>
      </c>
      <c r="I15" s="89">
        <f>'MONTHLY STATS'!$C$119*2</f>
        <v>727842</v>
      </c>
      <c r="J15" s="89">
        <f>'MONTHLY STATS'!$C$134*2</f>
        <v>926780</v>
      </c>
      <c r="K15" s="89">
        <f>'MONTHLY STATS'!$C$149*2</f>
        <v>954432</v>
      </c>
      <c r="L15" s="89">
        <f>'MONTHLY STATS'!$C$164*2</f>
        <v>156562</v>
      </c>
      <c r="M15" s="89">
        <f>'MONTHLY STATS'!$C$179*2</f>
        <v>1075224</v>
      </c>
      <c r="N15" s="89">
        <f>'MONTHLY STATS'!$C$194*2</f>
        <v>178976</v>
      </c>
      <c r="O15" s="90">
        <f t="shared" si="0"/>
        <v>7116248</v>
      </c>
      <c r="P15" s="83"/>
    </row>
    <row r="16" spans="1:16" ht="15.75">
      <c r="A16" s="88">
        <f>DATE(2014,1,1)</f>
        <v>41640</v>
      </c>
      <c r="B16" s="89">
        <f>'MONTHLY STATS'!$C$15*2</f>
        <v>530104</v>
      </c>
      <c r="C16" s="89">
        <f>'MONTHLY STATS'!$C$30*2</f>
        <v>279938</v>
      </c>
      <c r="D16" s="89">
        <f>'MONTHLY STATS'!$C$45*2</f>
        <v>125444</v>
      </c>
      <c r="E16" s="89">
        <f>'MONTHLY STATS'!$C$60*2</f>
        <v>854644</v>
      </c>
      <c r="F16" s="89">
        <f>'MONTHLY STATS'!$C$75*2</f>
        <v>579796</v>
      </c>
      <c r="G16" s="89">
        <f>'MONTHLY STATS'!$C$90*2</f>
        <v>271232</v>
      </c>
      <c r="H16" s="89">
        <f>'MONTHLY STATS'!$C$105*2</f>
        <v>386764</v>
      </c>
      <c r="I16" s="89">
        <f>'MONTHLY STATS'!$C$120*2</f>
        <v>659362</v>
      </c>
      <c r="J16" s="89">
        <f>'MONTHLY STATS'!$C$135*2</f>
        <v>896758</v>
      </c>
      <c r="K16" s="89">
        <f>'MONTHLY STATS'!$C$150*2</f>
        <v>922182</v>
      </c>
      <c r="L16" s="89">
        <f>'MONTHLY STATS'!$C$165*2</f>
        <v>147520</v>
      </c>
      <c r="M16" s="89">
        <f>'MONTHLY STATS'!$C$180*2</f>
        <v>1000606</v>
      </c>
      <c r="N16" s="89">
        <f>'MONTHLY STATS'!$C$195*2</f>
        <v>181762</v>
      </c>
      <c r="O16" s="90">
        <f aca="true" t="shared" si="1" ref="O16:O21">SUM(B16:N16)</f>
        <v>6836112</v>
      </c>
      <c r="P16" s="83"/>
    </row>
    <row r="17" spans="1:16" ht="15.75">
      <c r="A17" s="88">
        <f>DATE(2014,2,1)</f>
        <v>41671</v>
      </c>
      <c r="B17" s="89">
        <f>'MONTHLY STATS'!$C$16*2</f>
        <v>555082</v>
      </c>
      <c r="C17" s="89">
        <f>'MONTHLY STATS'!$C$31*2</f>
        <v>304664</v>
      </c>
      <c r="D17" s="89">
        <f>'MONTHLY STATS'!$C$46*2</f>
        <v>138824</v>
      </c>
      <c r="E17" s="89">
        <f>'MONTHLY STATS'!$C$61*2</f>
        <v>863862</v>
      </c>
      <c r="F17" s="89">
        <f>'MONTHLY STATS'!$C$76*2</f>
        <v>608478</v>
      </c>
      <c r="G17" s="89">
        <f>'MONTHLY STATS'!$C$91*2</f>
        <v>305168</v>
      </c>
      <c r="H17" s="89">
        <f>'MONTHLY STATS'!$C$106*2</f>
        <v>434062</v>
      </c>
      <c r="I17" s="89">
        <f>'MONTHLY STATS'!$C$121*2</f>
        <v>748576</v>
      </c>
      <c r="J17" s="89">
        <f>'MONTHLY STATS'!$C$136*2</f>
        <v>958736</v>
      </c>
      <c r="K17" s="89">
        <f>'MONTHLY STATS'!$C$151*2</f>
        <v>997328</v>
      </c>
      <c r="L17" s="89">
        <f>'MONTHLY STATS'!$C$166*2</f>
        <v>152492</v>
      </c>
      <c r="M17" s="89">
        <f>'MONTHLY STATS'!$C$181*2</f>
        <v>1038692</v>
      </c>
      <c r="N17" s="89">
        <f>'MONTHLY STATS'!$C$196*2</f>
        <v>205096</v>
      </c>
      <c r="O17" s="90">
        <f t="shared" si="1"/>
        <v>7311060</v>
      </c>
      <c r="P17" s="83"/>
    </row>
    <row r="18" spans="1:16" ht="15.75">
      <c r="A18" s="88">
        <f>DATE(2014,3,1)</f>
        <v>41699</v>
      </c>
      <c r="B18" s="89">
        <f>'MONTHLY STATS'!$C$17*2</f>
        <v>600174</v>
      </c>
      <c r="C18" s="89">
        <f>'MONTHLY STATS'!$C$32*2</f>
        <v>339398</v>
      </c>
      <c r="D18" s="89">
        <f>'MONTHLY STATS'!$C$47*2</f>
        <v>142378</v>
      </c>
      <c r="E18" s="89">
        <f>'MONTHLY STATS'!$C$62*2</f>
        <v>950206</v>
      </c>
      <c r="F18" s="89">
        <f>'MONTHLY STATS'!$C$77*2</f>
        <v>714562</v>
      </c>
      <c r="G18" s="89">
        <f>'MONTHLY STATS'!$C$92*2</f>
        <v>318022</v>
      </c>
      <c r="H18" s="89">
        <f>'MONTHLY STATS'!$C$107*2</f>
        <v>494104</v>
      </c>
      <c r="I18" s="89">
        <f>'MONTHLY STATS'!$C$122*2</f>
        <v>870210</v>
      </c>
      <c r="J18" s="89">
        <f>'MONTHLY STATS'!$C$137*2</f>
        <v>1006394</v>
      </c>
      <c r="K18" s="89">
        <f>'MONTHLY STATS'!$C$152*2</f>
        <v>1104388</v>
      </c>
      <c r="L18" s="89">
        <f>'MONTHLY STATS'!$C$167*2</f>
        <v>184608</v>
      </c>
      <c r="M18" s="89">
        <f>'MONTHLY STATS'!$C$182*2</f>
        <v>1177600</v>
      </c>
      <c r="N18" s="89">
        <f>'MONTHLY STATS'!$C$197*2</f>
        <v>218074</v>
      </c>
      <c r="O18" s="90">
        <f t="shared" si="1"/>
        <v>8120118</v>
      </c>
      <c r="P18" s="83"/>
    </row>
    <row r="19" spans="1:16" ht="15.75">
      <c r="A19" s="88">
        <f>DATE(2014,4,1)</f>
        <v>41730</v>
      </c>
      <c r="B19" s="89">
        <f>'MONTHLY STATS'!$C$18*2</f>
        <v>547900</v>
      </c>
      <c r="C19" s="89">
        <f>'MONTHLY STATS'!$C$33*2</f>
        <v>302730</v>
      </c>
      <c r="D19" s="89">
        <f>'MONTHLY STATS'!$C$48*2</f>
        <v>134894</v>
      </c>
      <c r="E19" s="89">
        <f>'MONTHLY STATS'!$C$63*2</f>
        <v>846284</v>
      </c>
      <c r="F19" s="89">
        <f>'MONTHLY STATS'!$C$78*2</f>
        <v>649566</v>
      </c>
      <c r="G19" s="89">
        <f>'MONTHLY STATS'!$C$93*2</f>
        <v>296564</v>
      </c>
      <c r="H19" s="89">
        <f>'MONTHLY STATS'!$C$108*2</f>
        <v>432166</v>
      </c>
      <c r="I19" s="89">
        <f>'MONTHLY STATS'!$C$123*2</f>
        <v>729242</v>
      </c>
      <c r="J19" s="89">
        <f>'MONTHLY STATS'!$C$138*2</f>
        <v>909008</v>
      </c>
      <c r="K19" s="89">
        <f>'MONTHLY STATS'!$C$153*2</f>
        <v>955770</v>
      </c>
      <c r="L19" s="89">
        <f>'MONTHLY STATS'!$C$168*2</f>
        <v>168482</v>
      </c>
      <c r="M19" s="89">
        <f>'MONTHLY STATS'!$C$183*2</f>
        <v>1059546</v>
      </c>
      <c r="N19" s="89">
        <f>'MONTHLY STATS'!$C$198*2</f>
        <v>204262</v>
      </c>
      <c r="O19" s="90">
        <f t="shared" si="1"/>
        <v>7236414</v>
      </c>
      <c r="P19" s="83"/>
    </row>
    <row r="20" spans="1:16" ht="15.75">
      <c r="A20" s="88">
        <f>DATE(2014,5,1)</f>
        <v>41760</v>
      </c>
      <c r="B20" s="89">
        <f>'MONTHLY STATS'!$C$19*2</f>
        <v>585240</v>
      </c>
      <c r="C20" s="89">
        <f>'MONTHLY STATS'!$C$34*2</f>
        <v>325406</v>
      </c>
      <c r="D20" s="89">
        <f>'MONTHLY STATS'!$C$49*2</f>
        <v>142802</v>
      </c>
      <c r="E20" s="89">
        <f>'MONTHLY STATS'!$C$64*2</f>
        <v>947268</v>
      </c>
      <c r="F20" s="89">
        <f>'MONTHLY STATS'!$C$79*2</f>
        <v>664600</v>
      </c>
      <c r="G20" s="89">
        <f>'MONTHLY STATS'!$C$94*2</f>
        <v>298618</v>
      </c>
      <c r="H20" s="89">
        <f>'MONTHLY STATS'!$C$109*2</f>
        <v>479264</v>
      </c>
      <c r="I20" s="89">
        <f>'MONTHLY STATS'!$C$124*2</f>
        <v>926186</v>
      </c>
      <c r="J20" s="89">
        <f>'MONTHLY STATS'!$C$139*2</f>
        <v>960000</v>
      </c>
      <c r="K20" s="89">
        <f>'MONTHLY STATS'!$C$154*2</f>
        <v>995138</v>
      </c>
      <c r="L20" s="89">
        <f>'MONTHLY STATS'!$C$169*2</f>
        <v>192442</v>
      </c>
      <c r="M20" s="89">
        <f>'MONTHLY STATS'!$C$184*2</f>
        <v>1102520</v>
      </c>
      <c r="N20" s="89">
        <f>'MONTHLY STATS'!$C$199*2</f>
        <v>198038</v>
      </c>
      <c r="O20" s="90">
        <f t="shared" si="1"/>
        <v>7817522</v>
      </c>
      <c r="P20" s="83"/>
    </row>
    <row r="21" spans="1:16" ht="15.75">
      <c r="A21" s="88">
        <f>DATE(2014,6,1)</f>
        <v>41791</v>
      </c>
      <c r="B21" s="89">
        <f>'MONTHLY STATS'!$C$20*2</f>
        <v>520866</v>
      </c>
      <c r="C21" s="89">
        <f>'MONTHLY STATS'!$C$35*2</f>
        <v>304686</v>
      </c>
      <c r="D21" s="89">
        <f>'MONTHLY STATS'!$C$50*2</f>
        <v>123922</v>
      </c>
      <c r="E21" s="89">
        <f>'MONTHLY STATS'!$C$65*2</f>
        <v>800780</v>
      </c>
      <c r="F21" s="89">
        <f>'MONTHLY STATS'!$C$80*2</f>
        <v>617472</v>
      </c>
      <c r="G21" s="89">
        <f>'MONTHLY STATS'!$C$95*2</f>
        <v>279456</v>
      </c>
      <c r="H21" s="89">
        <f>'MONTHLY STATS'!$C$110*2</f>
        <v>481998</v>
      </c>
      <c r="I21" s="89">
        <f>'MONTHLY STATS'!$C$125*2</f>
        <v>801068</v>
      </c>
      <c r="J21" s="89">
        <f>'MONTHLY STATS'!$C$140*2</f>
        <v>892550</v>
      </c>
      <c r="K21" s="89">
        <f>'MONTHLY STATS'!$C$155*2</f>
        <v>913392</v>
      </c>
      <c r="L21" s="89">
        <f>'MONTHLY STATS'!$C$170*2</f>
        <v>162566</v>
      </c>
      <c r="M21" s="89">
        <f>'MONTHLY STATS'!$C$185*2</f>
        <v>1046814</v>
      </c>
      <c r="N21" s="89">
        <f>'MONTHLY STATS'!$C$200*2</f>
        <v>191810</v>
      </c>
      <c r="O21" s="90">
        <f t="shared" si="1"/>
        <v>7137380</v>
      </c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2" ref="B23:O23">SUM(B10:B21)</f>
        <v>6760502</v>
      </c>
      <c r="C23" s="90">
        <f t="shared" si="2"/>
        <v>3794614</v>
      </c>
      <c r="D23" s="90">
        <f t="shared" si="2"/>
        <v>1613362</v>
      </c>
      <c r="E23" s="90">
        <f t="shared" si="2"/>
        <v>10980906</v>
      </c>
      <c r="F23" s="90">
        <f t="shared" si="2"/>
        <v>7734592</v>
      </c>
      <c r="G23" s="90">
        <f>SUM(G10:G21)</f>
        <v>3570412</v>
      </c>
      <c r="H23" s="90">
        <f t="shared" si="2"/>
        <v>5355198</v>
      </c>
      <c r="I23" s="90">
        <f>SUM(I10:I21)</f>
        <v>9234032</v>
      </c>
      <c r="J23" s="90">
        <f t="shared" si="2"/>
        <v>11518054</v>
      </c>
      <c r="K23" s="90">
        <f>SUM(K10:K21)</f>
        <v>11894662</v>
      </c>
      <c r="L23" s="90">
        <f t="shared" si="2"/>
        <v>2016440</v>
      </c>
      <c r="M23" s="90">
        <f t="shared" si="2"/>
        <v>12875688</v>
      </c>
      <c r="N23" s="90">
        <f t="shared" si="2"/>
        <v>2328420</v>
      </c>
      <c r="O23" s="90">
        <f t="shared" si="2"/>
        <v>89676882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9" t="s">
        <v>66</v>
      </c>
      <c r="F28" s="84" t="s">
        <v>16</v>
      </c>
      <c r="G28" s="84" t="s">
        <v>62</v>
      </c>
      <c r="H28" s="84" t="s">
        <v>17</v>
      </c>
      <c r="I28" s="84" t="s">
        <v>55</v>
      </c>
      <c r="J28" s="84" t="s">
        <v>27</v>
      </c>
      <c r="K28" s="106" t="s">
        <v>58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80" t="s">
        <v>67</v>
      </c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DATE(2013,7,1)</f>
        <v>41456</v>
      </c>
      <c r="B31" s="89">
        <f>'MONTHLY STATS'!$K$9*0.21</f>
        <v>2635998.6324</v>
      </c>
      <c r="C31" s="89">
        <f>'MONTHLY STATS'!$K$24*0.21</f>
        <v>1357337.1609</v>
      </c>
      <c r="D31" s="89">
        <f>'MONTHLY STATS'!$K$39*0.21</f>
        <v>587678.9478</v>
      </c>
      <c r="E31" s="89">
        <f>'MONTHLY STATS'!$K$54*0.21</f>
        <v>4350202.4517</v>
      </c>
      <c r="F31" s="89">
        <f>'MONTHLY STATS'!$K$69*0.21</f>
        <v>3121715.3604</v>
      </c>
      <c r="G31" s="89">
        <f>'MONTHLY STATS'!$K$84*0.21</f>
        <v>1020735.8468999999</v>
      </c>
      <c r="H31" s="89">
        <f>'MONTHLY STATS'!$K$99*0.21</f>
        <v>1379966.9583</v>
      </c>
      <c r="I31" s="89">
        <f>'MONTHLY STATS'!$K$114*0.21</f>
        <v>2387491.6064999998</v>
      </c>
      <c r="J31" s="89">
        <f>'MONTHLY STATS'!$K$129*0.21</f>
        <v>3625339.3617</v>
      </c>
      <c r="K31" s="89">
        <f>'MONTHLY STATS'!$K$144*0.21</f>
        <v>3442966.0776</v>
      </c>
      <c r="L31" s="89">
        <f>'MONTHLY STATS'!$K$159*0.21</f>
        <v>624636.0792</v>
      </c>
      <c r="M31" s="89">
        <f>'MONTHLY STATS'!$K$174*0.21</f>
        <v>4507663.7949</v>
      </c>
      <c r="N31" s="89">
        <f>'MONTHLY STATS'!$K$189*0.21</f>
        <v>637068.2745</v>
      </c>
      <c r="O31" s="90">
        <f aca="true" t="shared" si="3" ref="O31:O36">SUM(B31:N31)</f>
        <v>29678800.5528</v>
      </c>
      <c r="P31" s="83"/>
    </row>
    <row r="32" spans="1:16" ht="15.75">
      <c r="A32" s="88">
        <f>DATE(2013,8,1)</f>
        <v>41487</v>
      </c>
      <c r="B32" s="89">
        <f>'MONTHLY STATS'!$K$10*0.21</f>
        <v>2650461.1203</v>
      </c>
      <c r="C32" s="89">
        <f>'MONTHLY STATS'!$K$25*0.21</f>
        <v>1511536.0218</v>
      </c>
      <c r="D32" s="89">
        <f>'MONTHLY STATS'!$K$40*0.21</f>
        <v>579076.0962</v>
      </c>
      <c r="E32" s="89">
        <f>'MONTHLY STATS'!$K$55*0.21</f>
        <v>4158994.5705</v>
      </c>
      <c r="F32" s="89">
        <f>'MONTHLY STATS'!$K$70*0.21</f>
        <v>3257996.6307</v>
      </c>
      <c r="G32" s="89">
        <f>'MONTHLY STATS'!$K$85*0.21</f>
        <v>1084336.6716</v>
      </c>
      <c r="H32" s="89">
        <f>'MONTHLY STATS'!$K$100*0.21</f>
        <v>1371912.9774</v>
      </c>
      <c r="I32" s="89">
        <f>'MONTHLY STATS'!$K$115*0.21</f>
        <v>2684350.3155</v>
      </c>
      <c r="J32" s="89">
        <f>'MONTHLY STATS'!$K$130*0.21</f>
        <v>3782414.223</v>
      </c>
      <c r="K32" s="89">
        <f>'MONTHLY STATS'!$K$145*0.21</f>
        <v>3813888.2375999996</v>
      </c>
      <c r="L32" s="89">
        <f>'MONTHLY STATS'!$K$160*0.21</f>
        <v>638075.0901</v>
      </c>
      <c r="M32" s="89">
        <f>'MONTHLY STATS'!$K$175*0.21</f>
        <v>4674341.2191</v>
      </c>
      <c r="N32" s="89">
        <f>'MONTHLY STATS'!$K$190*0.21</f>
        <v>663778.7204999999</v>
      </c>
      <c r="O32" s="90">
        <f t="shared" si="3"/>
        <v>30871161.8943</v>
      </c>
      <c r="P32" s="83"/>
    </row>
    <row r="33" spans="1:16" ht="15.75">
      <c r="A33" s="88">
        <f>DATE(2013,9,1)</f>
        <v>41518</v>
      </c>
      <c r="B33" s="89">
        <f>'MONTHLY STATS'!$K$11*0.21</f>
        <v>2380008.3908999995</v>
      </c>
      <c r="C33" s="89">
        <f>'MONTHLY STATS'!$K$26*0.21</f>
        <v>1407670.4753999999</v>
      </c>
      <c r="D33" s="89">
        <f>'MONTHLY STATS'!$K$41*0.21</f>
        <v>530572.2890999999</v>
      </c>
      <c r="E33" s="89">
        <f>'MONTHLY STATS'!$K$56*0.21</f>
        <v>3867369.5339999995</v>
      </c>
      <c r="F33" s="89">
        <f>'MONTHLY STATS'!$K$71*0.21</f>
        <v>2950333.5099</v>
      </c>
      <c r="G33" s="89">
        <f>'MONTHLY STATS'!$K$86*0.21</f>
        <v>968101.5959999999</v>
      </c>
      <c r="H33" s="89">
        <f>'MONTHLY STATS'!$K$101*0.21</f>
        <v>1287571.0722</v>
      </c>
      <c r="I33" s="89">
        <f>'MONTHLY STATS'!$K$116*0.21</f>
        <v>2483801.2437</v>
      </c>
      <c r="J33" s="89">
        <f>'MONTHLY STATS'!$K$131*0.21</f>
        <v>3332090.9012999996</v>
      </c>
      <c r="K33" s="89">
        <f>'MONTHLY STATS'!$K$146*0.21</f>
        <v>3599395.2161999997</v>
      </c>
      <c r="L33" s="89">
        <f>'MONTHLY STATS'!$K$161*0.21</f>
        <v>606259.2501</v>
      </c>
      <c r="M33" s="89">
        <f>'MONTHLY STATS'!$K$176*0.21</f>
        <v>4245522.313200001</v>
      </c>
      <c r="N33" s="89">
        <f>'MONTHLY STATS'!$K$191*0.21</f>
        <v>628698.6426</v>
      </c>
      <c r="O33" s="90">
        <f t="shared" si="3"/>
        <v>28287394.4346</v>
      </c>
      <c r="P33" s="83"/>
    </row>
    <row r="34" spans="1:16" ht="15.75">
      <c r="A34" s="88">
        <f>DATE(2013,10,1)</f>
        <v>41548</v>
      </c>
      <c r="B34" s="89">
        <f>'MONTHLY STATS'!$K$12*0.21</f>
        <v>2336847.9477</v>
      </c>
      <c r="C34" s="89">
        <f>'MONTHLY STATS'!$K$27*0.21</f>
        <v>1294325.1636</v>
      </c>
      <c r="D34" s="89">
        <f>'MONTHLY STATS'!$K$42*0.21</f>
        <v>488795.75639999995</v>
      </c>
      <c r="E34" s="89">
        <f>'MONTHLY STATS'!$K$57*0.21</f>
        <v>3605306.6447999994</v>
      </c>
      <c r="F34" s="89">
        <f>'MONTHLY STATS'!$K$72*0.21</f>
        <v>3299713.6284</v>
      </c>
      <c r="G34" s="89">
        <f>'MONTHLY STATS'!$K$87*0.21</f>
        <v>892952.5920000001</v>
      </c>
      <c r="H34" s="89">
        <f>'MONTHLY STATS'!$K$102*0.21</f>
        <v>1309089.7596</v>
      </c>
      <c r="I34" s="89">
        <f>'MONTHLY STATS'!$K$117*0.21</f>
        <v>2563859.676</v>
      </c>
      <c r="J34" s="89">
        <f>'MONTHLY STATS'!$K$132*0.21</f>
        <v>3396586.9644</v>
      </c>
      <c r="K34" s="89">
        <f>'MONTHLY STATS'!$K$147*0.21</f>
        <v>3531411.4857</v>
      </c>
      <c r="L34" s="89">
        <f>'MONTHLY STATS'!$K$162*0.21</f>
        <v>609043.4427</v>
      </c>
      <c r="M34" s="89">
        <f>'MONTHLY STATS'!$K$177*0.21</f>
        <v>4244752.3503</v>
      </c>
      <c r="N34" s="89">
        <f>'MONTHLY STATS'!$K$192*0.21</f>
        <v>650364.3804</v>
      </c>
      <c r="O34" s="90">
        <f t="shared" si="3"/>
        <v>28223049.791999996</v>
      </c>
      <c r="P34" s="83"/>
    </row>
    <row r="35" spans="1:16" ht="15.75">
      <c r="A35" s="88">
        <f>DATE(2013,11,1)</f>
        <v>41579</v>
      </c>
      <c r="B35" s="89">
        <f>'MONTHLY STATS'!$K$13*0.21</f>
        <v>2457190.5245999997</v>
      </c>
      <c r="C35" s="89">
        <f>'MONTHLY STATS'!$K$28*0.21</f>
        <v>1400132.1852</v>
      </c>
      <c r="D35" s="89">
        <f>'MONTHLY STATS'!$K$43*0.21</f>
        <v>509314.3251</v>
      </c>
      <c r="E35" s="89">
        <f>'MONTHLY STATS'!$K$58*0.21</f>
        <v>3681171.6122999997</v>
      </c>
      <c r="F35" s="89">
        <f>'MONTHLY STATS'!$K$73*0.21</f>
        <v>3279479.2086</v>
      </c>
      <c r="G35" s="89">
        <f>'MONTHLY STATS'!$K$88*0.21</f>
        <v>980615.7459</v>
      </c>
      <c r="H35" s="89">
        <f>'MONTHLY STATS'!$K$103*0.21</f>
        <v>1265493.1820999999</v>
      </c>
      <c r="I35" s="89">
        <f>'MONTHLY STATS'!$K$118*0.21</f>
        <v>2376125.4069</v>
      </c>
      <c r="J35" s="89">
        <f>'MONTHLY STATS'!$K$133*0.21</f>
        <v>3450084.4812</v>
      </c>
      <c r="K35" s="89">
        <f>'MONTHLY STATS'!$K$148*0.21</f>
        <v>3905643.2919</v>
      </c>
      <c r="L35" s="89">
        <f>'MONTHLY STATS'!$K$163*0.21</f>
        <v>666094.7727</v>
      </c>
      <c r="M35" s="89">
        <f>'MONTHLY STATS'!$K$178*0.21</f>
        <v>4534729.6953</v>
      </c>
      <c r="N35" s="89">
        <f>'MONTHLY STATS'!$K$193*0.21</f>
        <v>615496.3037999999</v>
      </c>
      <c r="O35" s="90">
        <f t="shared" si="3"/>
        <v>29121570.735600002</v>
      </c>
      <c r="P35" s="83"/>
    </row>
    <row r="36" spans="1:16" ht="15.75">
      <c r="A36" s="88">
        <f>DATE(2013,12,1)</f>
        <v>41609</v>
      </c>
      <c r="B36" s="89">
        <f>'MONTHLY STATS'!$K$14*0.21</f>
        <v>2331522.7362</v>
      </c>
      <c r="C36" s="89">
        <f>'MONTHLY STATS'!$K$29*0.21</f>
        <v>1256695.3706999999</v>
      </c>
      <c r="D36" s="89">
        <f>'MONTHLY STATS'!$K$44*0.21</f>
        <v>493951.14509999997</v>
      </c>
      <c r="E36" s="89">
        <f>'MONTHLY STATS'!$K$59*0.21</f>
        <v>3792237.708</v>
      </c>
      <c r="F36" s="89">
        <f>'MONTHLY STATS'!$K$74*0.21</f>
        <v>2770885.9101</v>
      </c>
      <c r="G36" s="89">
        <f>'MONTHLY STATS'!$K$89*0.21</f>
        <v>955303.8348</v>
      </c>
      <c r="H36" s="89">
        <f>'MONTHLY STATS'!$K$104*0.21</f>
        <v>1180551.1452</v>
      </c>
      <c r="I36" s="89">
        <f>'MONTHLY STATS'!$K$119*0.21</f>
        <v>2536002.7539</v>
      </c>
      <c r="J36" s="89">
        <f>'MONTHLY STATS'!$K$134*0.21</f>
        <v>3301301.3922</v>
      </c>
      <c r="K36" s="89">
        <f>'MONTHLY STATS'!$K$149*0.21</f>
        <v>3554577.2577</v>
      </c>
      <c r="L36" s="89">
        <f>'MONTHLY STATS'!$K$164*0.21</f>
        <v>631596.1092</v>
      </c>
      <c r="M36" s="89">
        <f>'MONTHLY STATS'!$K$179*0.21</f>
        <v>4296890.7324</v>
      </c>
      <c r="N36" s="89">
        <f>'MONTHLY STATS'!$K$194*0.21</f>
        <v>609452.004</v>
      </c>
      <c r="O36" s="90">
        <f t="shared" si="3"/>
        <v>27710968.0995</v>
      </c>
      <c r="P36" s="83"/>
    </row>
    <row r="37" spans="1:16" ht="15.75">
      <c r="A37" s="88">
        <f>DATE(2014,1,1)</f>
        <v>41640</v>
      </c>
      <c r="B37" s="89">
        <f>'MONTHLY STATS'!$K$15*0.21</f>
        <v>2374309.8266999996</v>
      </c>
      <c r="C37" s="89">
        <f>'MONTHLY STATS'!$K$30*0.21</f>
        <v>1262514.7227</v>
      </c>
      <c r="D37" s="89">
        <f>'MONTHLY STATS'!$K$45*0.21</f>
        <v>508118.5829999999</v>
      </c>
      <c r="E37" s="89">
        <f>'MONTHLY STATS'!$K$60*0.21</f>
        <v>3624696.0624</v>
      </c>
      <c r="F37" s="89">
        <f>'MONTHLY STATS'!$K$75*0.21</f>
        <v>2704900.0419</v>
      </c>
      <c r="G37" s="89">
        <f>'MONTHLY STATS'!$K$90*0.21</f>
        <v>958998.0225</v>
      </c>
      <c r="H37" s="89">
        <f>'MONTHLY STATS'!$K$105*0.21</f>
        <v>1164449.7774</v>
      </c>
      <c r="I37" s="89">
        <f>'MONTHLY STATS'!$K$120*0.21</f>
        <v>2168949.7956</v>
      </c>
      <c r="J37" s="89">
        <f>'MONTHLY STATS'!$K$135*0.21</f>
        <v>3195717.4431</v>
      </c>
      <c r="K37" s="89">
        <f>'MONTHLY STATS'!$K$150*0.21</f>
        <v>3285103.8170999996</v>
      </c>
      <c r="L37" s="89">
        <f>'MONTHLY STATS'!$K$165*0.21</f>
        <v>574464.0216</v>
      </c>
      <c r="M37" s="89">
        <f>'MONTHLY STATS'!$K$180*0.21</f>
        <v>4028660.7500999994</v>
      </c>
      <c r="N37" s="89">
        <f>'MONTHLY STATS'!$K$195*0.21</f>
        <v>628923.1011</v>
      </c>
      <c r="O37" s="90">
        <f>SUM(B37:N37)</f>
        <v>26479805.965199996</v>
      </c>
      <c r="P37" s="83"/>
    </row>
    <row r="38" spans="1:16" ht="15.75">
      <c r="A38" s="88">
        <f>DATE(2014,2,1)</f>
        <v>41671</v>
      </c>
      <c r="B38" s="89">
        <f>'MONTHLY STATS'!$K$16*0.21</f>
        <v>2500536.402</v>
      </c>
      <c r="C38" s="89">
        <f>'MONTHLY STATS'!$K$31*0.21</f>
        <v>1374669.4983</v>
      </c>
      <c r="D38" s="89">
        <f>'MONTHLY STATS'!$K$46*0.21</f>
        <v>576015.8187000001</v>
      </c>
      <c r="E38" s="89">
        <f>'MONTHLY STATS'!$K$61*0.21</f>
        <v>3786129.1964999996</v>
      </c>
      <c r="F38" s="89">
        <f>'MONTHLY STATS'!$K$76*0.21</f>
        <v>2815033.6619999995</v>
      </c>
      <c r="G38" s="89">
        <f>'MONTHLY STATS'!$K$91*0.21</f>
        <v>1009152.2111999999</v>
      </c>
      <c r="H38" s="89">
        <f>'MONTHLY STATS'!$K$106*0.21</f>
        <v>1325737.5684</v>
      </c>
      <c r="I38" s="89">
        <f>'MONTHLY STATS'!$K$121*0.21</f>
        <v>2576964.7112999996</v>
      </c>
      <c r="J38" s="89">
        <f>'MONTHLY STATS'!$K$136*0.21</f>
        <v>3348784.3305</v>
      </c>
      <c r="K38" s="89">
        <f>'MONTHLY STATS'!$K$151*0.21</f>
        <v>3479571.2531999997</v>
      </c>
      <c r="L38" s="89">
        <f>'MONTHLY STATS'!$K$166*0.21</f>
        <v>597410.2617</v>
      </c>
      <c r="M38" s="89">
        <f>'MONTHLY STATS'!$K$181*0.21</f>
        <v>4233028.3485</v>
      </c>
      <c r="N38" s="89">
        <f>'MONTHLY STATS'!$K$196*0.21</f>
        <v>707137.9812</v>
      </c>
      <c r="O38" s="90">
        <f>SUM(B38:N38)</f>
        <v>28330171.243499998</v>
      </c>
      <c r="P38" s="83"/>
    </row>
    <row r="39" spans="1:16" ht="15.75">
      <c r="A39" s="88">
        <f>DATE(2014,3,1)</f>
        <v>41699</v>
      </c>
      <c r="B39" s="89">
        <f>'MONTHLY STATS'!$K$17*0.21</f>
        <v>2753043.6276000002</v>
      </c>
      <c r="C39" s="89">
        <f>'MONTHLY STATS'!$K$32*0.21</f>
        <v>1398495.5691</v>
      </c>
      <c r="D39" s="89">
        <f>'MONTHLY STATS'!$K$47*0.21</f>
        <v>609458.1234</v>
      </c>
      <c r="E39" s="89">
        <f>'MONTHLY STATS'!$K$62*0.21</f>
        <v>4271167.133099999</v>
      </c>
      <c r="F39" s="89">
        <f>'MONTHLY STATS'!$K$77*0.21</f>
        <v>3262552.3455</v>
      </c>
      <c r="G39" s="89">
        <f>'MONTHLY STATS'!$K$92*0.21</f>
        <v>1105375.4124</v>
      </c>
      <c r="H39" s="89">
        <f>'MONTHLY STATS'!$K$107*0.21</f>
        <v>1581508.5363</v>
      </c>
      <c r="I39" s="89">
        <f>'MONTHLY STATS'!$K$122*0.21</f>
        <v>2751472.3446</v>
      </c>
      <c r="J39" s="89">
        <f>'MONTHLY STATS'!$K$137*0.21</f>
        <v>3694756.7685000002</v>
      </c>
      <c r="K39" s="89">
        <f>'MONTHLY STATS'!$K$152*0.21</f>
        <v>4083573.9</v>
      </c>
      <c r="L39" s="89">
        <f>'MONTHLY STATS'!$K$167*0.21</f>
        <v>724927.5473999999</v>
      </c>
      <c r="M39" s="89">
        <f>'MONTHLY STATS'!$K$182*0.21</f>
        <v>4931281.6014</v>
      </c>
      <c r="N39" s="89">
        <f>'MONTHLY STATS'!$K$197*0.21</f>
        <v>767444.6829</v>
      </c>
      <c r="O39" s="90">
        <f>SUM(B39:N39)</f>
        <v>31935057.5922</v>
      </c>
      <c r="P39" s="83"/>
    </row>
    <row r="40" spans="1:16" ht="15.75">
      <c r="A40" s="88">
        <f>DATE(2014,4,1)</f>
        <v>41730</v>
      </c>
      <c r="B40" s="89">
        <f>'MONTHLY STATS'!$K$18*0.21</f>
        <v>2552485.9878</v>
      </c>
      <c r="C40" s="89">
        <f>'MONTHLY STATS'!$K$33*0.21</f>
        <v>1387182.8166</v>
      </c>
      <c r="D40" s="89">
        <f>'MONTHLY STATS'!$K$48*0.21</f>
        <v>578191.9563</v>
      </c>
      <c r="E40" s="89">
        <f>'MONTHLY STATS'!$K$63*0.21</f>
        <v>3927382.6746</v>
      </c>
      <c r="F40" s="89">
        <f>'MONTHLY STATS'!$K$78*0.21</f>
        <v>3095984.8688999997</v>
      </c>
      <c r="G40" s="89">
        <f>'MONTHLY STATS'!$K$93*0.21</f>
        <v>1047084.9165</v>
      </c>
      <c r="H40" s="89">
        <f>'MONTHLY STATS'!$K$108*0.21</f>
        <v>1330857.7190999999</v>
      </c>
      <c r="I40" s="89">
        <f>'MONTHLY STATS'!$K$123*0.21</f>
        <v>2334154.2084</v>
      </c>
      <c r="J40" s="89">
        <f>'MONTHLY STATS'!$K$138*0.21</f>
        <v>3370630.0445999997</v>
      </c>
      <c r="K40" s="89">
        <f>'MONTHLY STATS'!$K$153*0.21</f>
        <v>3689379.3908999995</v>
      </c>
      <c r="L40" s="89">
        <f>'MONTHLY STATS'!$K$168*0.21</f>
        <v>647700.0957</v>
      </c>
      <c r="M40" s="89">
        <f>'MONTHLY STATS'!$K$183*0.21</f>
        <v>4567784.7264</v>
      </c>
      <c r="N40" s="89">
        <f>'MONTHLY STATS'!$K$198*0.21</f>
        <v>708552.3711</v>
      </c>
      <c r="O40" s="90">
        <f>SUM(B40:N40)</f>
        <v>29237371.7769</v>
      </c>
      <c r="P40" s="83"/>
    </row>
    <row r="41" spans="1:16" ht="15.75">
      <c r="A41" s="88">
        <f>DATE(2014,5,1)</f>
        <v>41760</v>
      </c>
      <c r="B41" s="89">
        <f>'MONTHLY STATS'!$K$19*0.21</f>
        <v>2714355.0798</v>
      </c>
      <c r="C41" s="89">
        <f>'MONTHLY STATS'!$K$34*0.21</f>
        <v>1380830.2956</v>
      </c>
      <c r="D41" s="89">
        <f>'MONTHLY STATS'!$K$49*0.21</f>
        <v>573596.6963999999</v>
      </c>
      <c r="E41" s="89">
        <f>'MONTHLY STATS'!$K$64*0.21</f>
        <v>4118489.0522999996</v>
      </c>
      <c r="F41" s="89">
        <f>'MONTHLY STATS'!$K$79*0.21</f>
        <v>3353316.2123999996</v>
      </c>
      <c r="G41" s="89">
        <f>'MONTHLY STATS'!$K$94*0.21</f>
        <v>1071119.0825999998</v>
      </c>
      <c r="H41" s="89">
        <f>'MONTHLY STATS'!$K$109*0.21</f>
        <v>1377866.9331</v>
      </c>
      <c r="I41" s="89">
        <f>'MONTHLY STATS'!$K$124*0.21</f>
        <v>2975773.6365</v>
      </c>
      <c r="J41" s="89">
        <f>'MONTHLY STATS'!$K$139*0.21</f>
        <v>3656687.5422</v>
      </c>
      <c r="K41" s="89">
        <f>'MONTHLY STATS'!$K$154*0.21</f>
        <v>3851769.5202</v>
      </c>
      <c r="L41" s="89">
        <f>'MONTHLY STATS'!$K$169*0.21</f>
        <v>741580.0371</v>
      </c>
      <c r="M41" s="89">
        <f>'MONTHLY STATS'!$K$184*0.21</f>
        <v>4695399.6999</v>
      </c>
      <c r="N41" s="89">
        <f>'MONTHLY STATS'!$K$199*0.21</f>
        <v>695107.6944</v>
      </c>
      <c r="O41" s="90">
        <f>SUM(B41:N41)</f>
        <v>31205891.482499998</v>
      </c>
      <c r="P41" s="83"/>
    </row>
    <row r="42" spans="1:16" ht="15.75">
      <c r="A42" s="88">
        <f>DATE(2014,6,1)</f>
        <v>41791</v>
      </c>
      <c r="B42" s="89">
        <f>'MONTHLY STATS'!$K$20*0.21</f>
        <v>2330238.5442</v>
      </c>
      <c r="C42" s="89">
        <f>'MONTHLY STATS'!$K$35*0.21</f>
        <v>1353912.1427999998</v>
      </c>
      <c r="D42" s="89">
        <f>'MONTHLY STATS'!$K$50*0.21</f>
        <v>503905.7268</v>
      </c>
      <c r="E42" s="89">
        <f>'MONTHLY STATS'!$K$65*0.21</f>
        <v>3725674.1633999995</v>
      </c>
      <c r="F42" s="89">
        <f>'MONTHLY STATS'!$K$80*0.21</f>
        <v>2854088.7711</v>
      </c>
      <c r="G42" s="89">
        <f>'MONTHLY STATS'!$K$95*0.21</f>
        <v>939491.1834</v>
      </c>
      <c r="H42" s="89">
        <f>'MONTHLY STATS'!$K$110*0.21</f>
        <v>1295777.5277999998</v>
      </c>
      <c r="I42" s="89">
        <f>'MONTHLY STATS'!$K$125*0.21</f>
        <v>2618060.6949</v>
      </c>
      <c r="J42" s="89">
        <f>'MONTHLY STATS'!$K$140*0.21</f>
        <v>3335944.5483</v>
      </c>
      <c r="K42" s="89">
        <f>'MONTHLY STATS'!$K$155*0.21</f>
        <v>3358605.1737</v>
      </c>
      <c r="L42" s="89">
        <f>'MONTHLY STATS'!$K$170*0.21</f>
        <v>622997.9133</v>
      </c>
      <c r="M42" s="89">
        <f>'MONTHLY STATS'!$K$185*0.21</f>
        <v>4453622.8002</v>
      </c>
      <c r="N42" s="89">
        <f>'MONTHLY STATS'!$K$200*0.21</f>
        <v>645455.1369</v>
      </c>
      <c r="O42" s="90">
        <f>SUM(B42:N42)</f>
        <v>28037774.3268</v>
      </c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4" ref="B44:O44">SUM(B31:B42)</f>
        <v>30016998.820199993</v>
      </c>
      <c r="C44" s="90">
        <f t="shared" si="4"/>
        <v>16385301.4227</v>
      </c>
      <c r="D44" s="90">
        <f t="shared" si="4"/>
        <v>6538675.464299999</v>
      </c>
      <c r="E44" s="90">
        <f t="shared" si="4"/>
        <v>46908820.8036</v>
      </c>
      <c r="F44" s="90">
        <f t="shared" si="4"/>
        <v>36766000.1499</v>
      </c>
      <c r="G44" s="90">
        <f t="shared" si="4"/>
        <v>12033267.115799999</v>
      </c>
      <c r="H44" s="90">
        <f t="shared" si="4"/>
        <v>15870783.1569</v>
      </c>
      <c r="I44" s="90">
        <f>SUM(I31:I42)</f>
        <v>30457006.393799998</v>
      </c>
      <c r="J44" s="90">
        <f t="shared" si="4"/>
        <v>41490338.000999995</v>
      </c>
      <c r="K44" s="90">
        <f>SUM(K31:K42)</f>
        <v>43595884.62179999</v>
      </c>
      <c r="L44" s="90">
        <f t="shared" si="4"/>
        <v>7684784.6208</v>
      </c>
      <c r="M44" s="90">
        <f t="shared" si="4"/>
        <v>53413678.03170001</v>
      </c>
      <c r="N44" s="90">
        <f t="shared" si="4"/>
        <v>7957479.293400001</v>
      </c>
      <c r="O44" s="90">
        <f t="shared" si="4"/>
        <v>349119017.8959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.75">
      <c r="A47" s="276" t="s">
        <v>65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</row>
    <row r="48" spans="1:15" ht="15.75">
      <c r="A48" s="256" t="s">
        <v>72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</row>
    <row r="49" spans="1:15" ht="15.75">
      <c r="A49" s="256" t="s">
        <v>77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</row>
    <row r="50" spans="1:9" ht="15.75">
      <c r="A50" s="115" t="s">
        <v>31</v>
      </c>
      <c r="B50" s="98"/>
      <c r="C50" s="98"/>
      <c r="D50" s="98"/>
      <c r="E50" s="98"/>
      <c r="F50" s="98"/>
      <c r="G50" s="98"/>
      <c r="H50" s="98"/>
      <c r="I50" s="98"/>
    </row>
    <row r="51" spans="1:9" ht="15.75">
      <c r="A51" s="115"/>
      <c r="B51" s="98"/>
      <c r="C51" s="98"/>
      <c r="D51" s="98"/>
      <c r="E51" s="98"/>
      <c r="F51" s="98"/>
      <c r="G51" s="98"/>
      <c r="H51" s="98"/>
      <c r="I51" s="98"/>
    </row>
    <row r="52" ht="15.75">
      <c r="A52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2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9" t="s">
        <v>81</v>
      </c>
      <c r="B3" s="117"/>
      <c r="C3" s="200"/>
      <c r="D3" s="200"/>
      <c r="E3" s="200"/>
      <c r="F3" s="117"/>
      <c r="G3" s="210"/>
    </row>
    <row r="4" spans="1:7" ht="15">
      <c r="A4" s="290" t="s">
        <v>82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4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DATE(2013,7,1)</f>
        <v>41456</v>
      </c>
      <c r="C9" s="204">
        <v>5473265</v>
      </c>
      <c r="D9" s="204">
        <v>979631</v>
      </c>
      <c r="E9" s="204">
        <v>1142785.75</v>
      </c>
      <c r="F9" s="132">
        <f aca="true" t="shared" si="0" ref="F9:F20">(+D9-E9)/E9</f>
        <v>-0.14276932487126306</v>
      </c>
      <c r="G9" s="215">
        <f aca="true" t="shared" si="1" ref="G9:G20">D9/C9</f>
        <v>0.17898475589981483</v>
      </c>
      <c r="H9" s="123"/>
    </row>
    <row r="10" spans="1:8" ht="15.75">
      <c r="A10" s="130"/>
      <c r="B10" s="131">
        <f>DATE(2013,8,1)</f>
        <v>41487</v>
      </c>
      <c r="C10" s="204">
        <v>5562163</v>
      </c>
      <c r="D10" s="204">
        <v>1015141.56</v>
      </c>
      <c r="E10" s="204">
        <v>1154857.33</v>
      </c>
      <c r="F10" s="132">
        <f t="shared" si="0"/>
        <v>-0.12098097866339906</v>
      </c>
      <c r="G10" s="215">
        <f t="shared" si="1"/>
        <v>0.18250841624022884</v>
      </c>
      <c r="H10" s="123"/>
    </row>
    <row r="11" spans="1:8" ht="15.75">
      <c r="A11" s="130"/>
      <c r="B11" s="131">
        <f>DATE(2013,9,1)</f>
        <v>41518</v>
      </c>
      <c r="C11" s="204">
        <v>4965177</v>
      </c>
      <c r="D11" s="204">
        <v>1019087.22</v>
      </c>
      <c r="E11" s="204">
        <v>1180785.38</v>
      </c>
      <c r="F11" s="132">
        <f t="shared" si="0"/>
        <v>-0.13694119417366088</v>
      </c>
      <c r="G11" s="215">
        <f t="shared" si="1"/>
        <v>0.20524690660574638</v>
      </c>
      <c r="H11" s="123"/>
    </row>
    <row r="12" spans="1:8" ht="15.75">
      <c r="A12" s="130"/>
      <c r="B12" s="131">
        <f>DATE(2013,10,1)</f>
        <v>41548</v>
      </c>
      <c r="C12" s="204">
        <v>4954853.5</v>
      </c>
      <c r="D12" s="204">
        <v>928648.96</v>
      </c>
      <c r="E12" s="204">
        <v>1135654.05</v>
      </c>
      <c r="F12" s="132">
        <f t="shared" si="0"/>
        <v>-0.18227830033274664</v>
      </c>
      <c r="G12" s="215">
        <f t="shared" si="1"/>
        <v>0.18742208220687048</v>
      </c>
      <c r="H12" s="123"/>
    </row>
    <row r="13" spans="1:8" ht="15.75">
      <c r="A13" s="130"/>
      <c r="B13" s="131">
        <f>DATE(2013,11,1)</f>
        <v>41579</v>
      </c>
      <c r="C13" s="204">
        <v>5487075</v>
      </c>
      <c r="D13" s="204">
        <v>1032691.58</v>
      </c>
      <c r="E13" s="204">
        <v>846980.18</v>
      </c>
      <c r="F13" s="132">
        <f t="shared" si="0"/>
        <v>0.21926298204522318</v>
      </c>
      <c r="G13" s="215">
        <f t="shared" si="1"/>
        <v>0.188204385761084</v>
      </c>
      <c r="H13" s="123"/>
    </row>
    <row r="14" spans="1:8" ht="15.75">
      <c r="A14" s="130"/>
      <c r="B14" s="131">
        <f>DATE(2013,12,1)</f>
        <v>41609</v>
      </c>
      <c r="C14" s="204">
        <v>4879151.5</v>
      </c>
      <c r="D14" s="204">
        <v>1020563.81</v>
      </c>
      <c r="E14" s="204">
        <v>1043465.15</v>
      </c>
      <c r="F14" s="132">
        <f t="shared" si="0"/>
        <v>-0.02194739325985153</v>
      </c>
      <c r="G14" s="215">
        <f t="shared" si="1"/>
        <v>0.2091682969877037</v>
      </c>
      <c r="H14" s="123"/>
    </row>
    <row r="15" spans="1:8" ht="15.75">
      <c r="A15" s="130"/>
      <c r="B15" s="131">
        <f>DATE(2014,1,1)</f>
        <v>41640</v>
      </c>
      <c r="C15" s="204">
        <v>5299018</v>
      </c>
      <c r="D15" s="204">
        <v>1080155</v>
      </c>
      <c r="E15" s="204">
        <v>1139434.47</v>
      </c>
      <c r="F15" s="132">
        <f t="shared" si="0"/>
        <v>-0.05202534376549094</v>
      </c>
      <c r="G15" s="215">
        <f t="shared" si="1"/>
        <v>0.2038405983901168</v>
      </c>
      <c r="H15" s="123"/>
    </row>
    <row r="16" spans="1:8" ht="15.75">
      <c r="A16" s="130"/>
      <c r="B16" s="131">
        <f>DATE(2014,2,1)</f>
        <v>41671</v>
      </c>
      <c r="C16" s="204">
        <v>5446341</v>
      </c>
      <c r="D16" s="204">
        <v>1054605.16</v>
      </c>
      <c r="E16" s="204">
        <v>1316510.37</v>
      </c>
      <c r="F16" s="132">
        <f t="shared" si="0"/>
        <v>-0.1989389646813038</v>
      </c>
      <c r="G16" s="215">
        <f t="shared" si="1"/>
        <v>0.19363553622514637</v>
      </c>
      <c r="H16" s="123"/>
    </row>
    <row r="17" spans="1:8" ht="15.75">
      <c r="A17" s="130"/>
      <c r="B17" s="131">
        <f>DATE(2014,3,1)</f>
        <v>41699</v>
      </c>
      <c r="C17" s="204">
        <v>6161710</v>
      </c>
      <c r="D17" s="204">
        <v>1227956.8</v>
      </c>
      <c r="E17" s="204">
        <v>1370747.52</v>
      </c>
      <c r="F17" s="132">
        <f t="shared" si="0"/>
        <v>-0.10416996413752401</v>
      </c>
      <c r="G17" s="215">
        <f t="shared" si="1"/>
        <v>0.1992883144451784</v>
      </c>
      <c r="H17" s="123"/>
    </row>
    <row r="18" spans="1:8" ht="15.75">
      <c r="A18" s="130"/>
      <c r="B18" s="131">
        <f>DATE(2014,4,1)</f>
        <v>41730</v>
      </c>
      <c r="C18" s="204">
        <v>5288408</v>
      </c>
      <c r="D18" s="204">
        <v>1205523.32</v>
      </c>
      <c r="E18" s="204">
        <v>1189346.15</v>
      </c>
      <c r="F18" s="132">
        <f t="shared" si="0"/>
        <v>0.013601734028398847</v>
      </c>
      <c r="G18" s="215">
        <f t="shared" si="1"/>
        <v>0.22795580825080064</v>
      </c>
      <c r="H18" s="123"/>
    </row>
    <row r="19" spans="1:8" ht="15.75">
      <c r="A19" s="130"/>
      <c r="B19" s="131">
        <f>DATE(2014,5,1)</f>
        <v>41760</v>
      </c>
      <c r="C19" s="204">
        <v>5461841</v>
      </c>
      <c r="D19" s="204">
        <v>1056968</v>
      </c>
      <c r="E19" s="204">
        <v>1108029.04</v>
      </c>
      <c r="F19" s="132">
        <f t="shared" si="0"/>
        <v>-0.04608276331818888</v>
      </c>
      <c r="G19" s="215">
        <f t="shared" si="1"/>
        <v>0.19351863227069407</v>
      </c>
      <c r="H19" s="123"/>
    </row>
    <row r="20" spans="1:8" ht="15.75">
      <c r="A20" s="130"/>
      <c r="B20" s="131">
        <f>DATE(2014,6,1)</f>
        <v>41791</v>
      </c>
      <c r="C20" s="204">
        <v>4612957.5</v>
      </c>
      <c r="D20" s="204">
        <v>1014875.5</v>
      </c>
      <c r="E20" s="204">
        <v>855330.71</v>
      </c>
      <c r="F20" s="132">
        <f t="shared" si="0"/>
        <v>0.1865299446573128</v>
      </c>
      <c r="G20" s="215">
        <f t="shared" si="1"/>
        <v>0.22000538699955505</v>
      </c>
      <c r="H20" s="123"/>
    </row>
    <row r="21" spans="1:8" ht="15.75" thickBot="1">
      <c r="A21" s="133"/>
      <c r="B21" s="134"/>
      <c r="C21" s="204"/>
      <c r="D21" s="204"/>
      <c r="E21" s="204"/>
      <c r="F21" s="132"/>
      <c r="G21" s="215"/>
      <c r="H21" s="123"/>
    </row>
    <row r="22" spans="1:8" ht="17.25" thickBot="1" thickTop="1">
      <c r="A22" s="135" t="s">
        <v>14</v>
      </c>
      <c r="B22" s="136"/>
      <c r="C22" s="201">
        <f>SUM(C9:C21)</f>
        <v>63591960.5</v>
      </c>
      <c r="D22" s="201">
        <f>SUM(D9:D21)</f>
        <v>12635847.910000002</v>
      </c>
      <c r="E22" s="201">
        <f>SUM(E9:E21)</f>
        <v>13483926.100000001</v>
      </c>
      <c r="F22" s="137">
        <f>(+D22-E22)/E22</f>
        <v>-0.062895493768688</v>
      </c>
      <c r="G22" s="212">
        <f>D22/C22</f>
        <v>0.19870197129714223</v>
      </c>
      <c r="H22" s="123"/>
    </row>
    <row r="23" spans="1:8" ht="15.75" customHeight="1" thickTop="1">
      <c r="A23" s="138"/>
      <c r="B23" s="139"/>
      <c r="C23" s="205"/>
      <c r="D23" s="205"/>
      <c r="E23" s="205"/>
      <c r="F23" s="140"/>
      <c r="G23" s="216"/>
      <c r="H23" s="123"/>
    </row>
    <row r="24" spans="1:8" ht="15.75">
      <c r="A24" s="19" t="s">
        <v>15</v>
      </c>
      <c r="B24" s="131">
        <f>DATE(2013,7,1)</f>
        <v>41456</v>
      </c>
      <c r="C24" s="204">
        <v>2407779</v>
      </c>
      <c r="D24" s="204">
        <v>473986</v>
      </c>
      <c r="E24" s="204">
        <v>472394.5</v>
      </c>
      <c r="F24" s="132">
        <f aca="true" t="shared" si="2" ref="F24:F35">(+D24-E24)/E24</f>
        <v>0.0033690062013846476</v>
      </c>
      <c r="G24" s="215">
        <f aca="true" t="shared" si="3" ref="G24:G35">D24/C24</f>
        <v>0.19685610681046725</v>
      </c>
      <c r="H24" s="123"/>
    </row>
    <row r="25" spans="1:8" ht="15.75">
      <c r="A25" s="19"/>
      <c r="B25" s="131">
        <f>DATE(2013,8,1)</f>
        <v>41487</v>
      </c>
      <c r="C25" s="204">
        <v>2513012</v>
      </c>
      <c r="D25" s="204">
        <v>630118</v>
      </c>
      <c r="E25" s="204">
        <v>521375</v>
      </c>
      <c r="F25" s="132">
        <f t="shared" si="2"/>
        <v>0.20856964756653082</v>
      </c>
      <c r="G25" s="215">
        <f t="shared" si="3"/>
        <v>0.2507421373236578</v>
      </c>
      <c r="H25" s="123"/>
    </row>
    <row r="26" spans="1:8" ht="15.75">
      <c r="A26" s="19"/>
      <c r="B26" s="131">
        <f>DATE(2013,9,1)</f>
        <v>41518</v>
      </c>
      <c r="C26" s="204">
        <v>2384634</v>
      </c>
      <c r="D26" s="204">
        <v>539966</v>
      </c>
      <c r="E26" s="204">
        <v>467780.5</v>
      </c>
      <c r="F26" s="132">
        <f t="shared" si="2"/>
        <v>0.15431489769240062</v>
      </c>
      <c r="G26" s="215">
        <f t="shared" si="3"/>
        <v>0.22643558718025492</v>
      </c>
      <c r="H26" s="123"/>
    </row>
    <row r="27" spans="1:8" ht="15.75">
      <c r="A27" s="19"/>
      <c r="B27" s="131">
        <f>DATE(2013,10,1)</f>
        <v>41548</v>
      </c>
      <c r="C27" s="204">
        <v>2401557.38</v>
      </c>
      <c r="D27" s="204">
        <v>476110.5</v>
      </c>
      <c r="E27" s="204">
        <v>544397</v>
      </c>
      <c r="F27" s="132">
        <f t="shared" si="2"/>
        <v>-0.1254351144477284</v>
      </c>
      <c r="G27" s="215">
        <f t="shared" si="3"/>
        <v>0.19825072845021927</v>
      </c>
      <c r="H27" s="123"/>
    </row>
    <row r="28" spans="1:8" ht="15.75">
      <c r="A28" s="19"/>
      <c r="B28" s="131">
        <f>DATE(2013,11,1)</f>
        <v>41579</v>
      </c>
      <c r="C28" s="204">
        <v>2361822</v>
      </c>
      <c r="D28" s="204">
        <v>469818.5</v>
      </c>
      <c r="E28" s="204">
        <v>516150.5</v>
      </c>
      <c r="F28" s="132">
        <f t="shared" si="2"/>
        <v>-0.08976451635714777</v>
      </c>
      <c r="G28" s="215">
        <f t="shared" si="3"/>
        <v>0.19892206101899296</v>
      </c>
      <c r="H28" s="123"/>
    </row>
    <row r="29" spans="1:8" ht="15.75">
      <c r="A29" s="19"/>
      <c r="B29" s="131">
        <f>DATE(2013,12,1)</f>
        <v>41609</v>
      </c>
      <c r="C29" s="204">
        <v>2352604</v>
      </c>
      <c r="D29" s="204">
        <v>499071</v>
      </c>
      <c r="E29" s="204">
        <v>687182</v>
      </c>
      <c r="F29" s="132">
        <f t="shared" si="2"/>
        <v>-0.27374261840385805</v>
      </c>
      <c r="G29" s="215">
        <f t="shared" si="3"/>
        <v>0.21213557402775818</v>
      </c>
      <c r="H29" s="123"/>
    </row>
    <row r="30" spans="1:8" ht="15.75">
      <c r="A30" s="19"/>
      <c r="B30" s="131">
        <f>DATE(2014,1,1)</f>
        <v>41640</v>
      </c>
      <c r="C30" s="204">
        <v>2387678</v>
      </c>
      <c r="D30" s="204">
        <v>468114.5</v>
      </c>
      <c r="E30" s="204">
        <v>544813</v>
      </c>
      <c r="F30" s="132">
        <f t="shared" si="2"/>
        <v>-0.1407794968181743</v>
      </c>
      <c r="G30" s="215">
        <f t="shared" si="3"/>
        <v>0.19605428370157116</v>
      </c>
      <c r="H30" s="123"/>
    </row>
    <row r="31" spans="1:8" ht="15.75">
      <c r="A31" s="19"/>
      <c r="B31" s="131">
        <f>DATE(2014,2,1)</f>
        <v>41671</v>
      </c>
      <c r="C31" s="204">
        <v>2687834.5</v>
      </c>
      <c r="D31" s="204">
        <v>638184</v>
      </c>
      <c r="E31" s="204">
        <v>464479</v>
      </c>
      <c r="F31" s="132">
        <f t="shared" si="2"/>
        <v>0.37397815617067726</v>
      </c>
      <c r="G31" s="215">
        <f t="shared" si="3"/>
        <v>0.2374342616705009</v>
      </c>
      <c r="H31" s="123"/>
    </row>
    <row r="32" spans="1:8" ht="15.75">
      <c r="A32" s="19"/>
      <c r="B32" s="131">
        <f>DATE(2014,3,1)</f>
        <v>41699</v>
      </c>
      <c r="C32" s="204">
        <v>2781937</v>
      </c>
      <c r="D32" s="204">
        <v>440676</v>
      </c>
      <c r="E32" s="204">
        <v>606922</v>
      </c>
      <c r="F32" s="132">
        <f t="shared" si="2"/>
        <v>-0.27391658236148964</v>
      </c>
      <c r="G32" s="215">
        <f t="shared" si="3"/>
        <v>0.15840617526565123</v>
      </c>
      <c r="H32" s="123"/>
    </row>
    <row r="33" spans="1:8" ht="15.75">
      <c r="A33" s="19"/>
      <c r="B33" s="131">
        <f>DATE(2014,4,1)</f>
        <v>41730</v>
      </c>
      <c r="C33" s="204">
        <v>2572785</v>
      </c>
      <c r="D33" s="204">
        <v>636292.5</v>
      </c>
      <c r="E33" s="204">
        <v>514561.5</v>
      </c>
      <c r="F33" s="132">
        <f t="shared" si="2"/>
        <v>0.2365723047682347</v>
      </c>
      <c r="G33" s="215">
        <f t="shared" si="3"/>
        <v>0.2473166238142713</v>
      </c>
      <c r="H33" s="123"/>
    </row>
    <row r="34" spans="1:8" ht="15.75">
      <c r="A34" s="19"/>
      <c r="B34" s="131">
        <f>DATE(2014,5,1)</f>
        <v>41760</v>
      </c>
      <c r="C34" s="204">
        <v>2573449</v>
      </c>
      <c r="D34" s="204">
        <v>441878</v>
      </c>
      <c r="E34" s="204">
        <v>523327.5</v>
      </c>
      <c r="F34" s="132">
        <f t="shared" si="2"/>
        <v>-0.15563772207651996</v>
      </c>
      <c r="G34" s="215">
        <f t="shared" si="3"/>
        <v>0.17170653080748832</v>
      </c>
      <c r="H34" s="123"/>
    </row>
    <row r="35" spans="1:8" ht="15.75">
      <c r="A35" s="19"/>
      <c r="B35" s="131">
        <f>DATE(2014,6,1)</f>
        <v>41791</v>
      </c>
      <c r="C35" s="204">
        <v>2512115</v>
      </c>
      <c r="D35" s="204">
        <v>529096</v>
      </c>
      <c r="E35" s="204">
        <v>465909</v>
      </c>
      <c r="F35" s="132">
        <f t="shared" si="2"/>
        <v>0.135620904511396</v>
      </c>
      <c r="G35" s="215">
        <f t="shared" si="3"/>
        <v>0.21061774640094105</v>
      </c>
      <c r="H35" s="123"/>
    </row>
    <row r="36" spans="1:8" ht="15.75" thickBot="1">
      <c r="A36" s="133"/>
      <c r="B36" s="131"/>
      <c r="C36" s="204"/>
      <c r="D36" s="204"/>
      <c r="E36" s="204"/>
      <c r="F36" s="132"/>
      <c r="G36" s="215"/>
      <c r="H36" s="123"/>
    </row>
    <row r="37" spans="1:8" ht="17.25" thickBot="1" thickTop="1">
      <c r="A37" s="135" t="s">
        <v>14</v>
      </c>
      <c r="B37" s="136"/>
      <c r="C37" s="201">
        <f>SUM(C24:C36)</f>
        <v>29937206.88</v>
      </c>
      <c r="D37" s="201">
        <f>SUM(D24:D36)</f>
        <v>6243311</v>
      </c>
      <c r="E37" s="201">
        <f>SUM(E24:E36)</f>
        <v>6329291.5</v>
      </c>
      <c r="F37" s="137">
        <f>(+D37-E37)/E37</f>
        <v>-0.013584537858621301</v>
      </c>
      <c r="G37" s="212">
        <f>D37/C37</f>
        <v>0.20854687696903806</v>
      </c>
      <c r="H37" s="123"/>
    </row>
    <row r="38" spans="1:8" ht="15.75" customHeight="1" thickTop="1">
      <c r="A38" s="255"/>
      <c r="B38" s="139"/>
      <c r="C38" s="205"/>
      <c r="D38" s="205"/>
      <c r="E38" s="205"/>
      <c r="F38" s="140"/>
      <c r="G38" s="219"/>
      <c r="H38" s="123"/>
    </row>
    <row r="39" spans="1:8" ht="15.75">
      <c r="A39" s="19" t="s">
        <v>56</v>
      </c>
      <c r="B39" s="131">
        <f>DATE(2013,7,1)</f>
        <v>41456</v>
      </c>
      <c r="C39" s="204">
        <v>1184027</v>
      </c>
      <c r="D39" s="204">
        <v>327537.5</v>
      </c>
      <c r="E39" s="204">
        <v>332537.5</v>
      </c>
      <c r="F39" s="132">
        <f aca="true" t="shared" si="4" ref="F39:F50">(+D39-E39)/E39</f>
        <v>-0.015035898206969139</v>
      </c>
      <c r="G39" s="215">
        <f aca="true" t="shared" si="5" ref="G39:G50">D39/C39</f>
        <v>0.27663009373941644</v>
      </c>
      <c r="H39" s="123"/>
    </row>
    <row r="40" spans="1:8" ht="15.75">
      <c r="A40" s="19"/>
      <c r="B40" s="131">
        <f>DATE(2013,8,1)</f>
        <v>41487</v>
      </c>
      <c r="C40" s="204">
        <v>1027663</v>
      </c>
      <c r="D40" s="204">
        <v>291070.5</v>
      </c>
      <c r="E40" s="204">
        <v>373229</v>
      </c>
      <c r="F40" s="132">
        <f t="shared" si="4"/>
        <v>-0.2201289288881625</v>
      </c>
      <c r="G40" s="215">
        <f t="shared" si="5"/>
        <v>0.28323536022995865</v>
      </c>
      <c r="H40" s="123"/>
    </row>
    <row r="41" spans="1:8" ht="15.75">
      <c r="A41" s="19"/>
      <c r="B41" s="131">
        <f>DATE(2013,9,1)</f>
        <v>41518</v>
      </c>
      <c r="C41" s="204">
        <v>909098</v>
      </c>
      <c r="D41" s="204">
        <v>327340.5</v>
      </c>
      <c r="E41" s="204">
        <v>280061.5</v>
      </c>
      <c r="F41" s="132">
        <f t="shared" si="4"/>
        <v>0.16881649209191552</v>
      </c>
      <c r="G41" s="215">
        <f t="shared" si="5"/>
        <v>0.36007174144041676</v>
      </c>
      <c r="H41" s="123"/>
    </row>
    <row r="42" spans="1:8" ht="15.75">
      <c r="A42" s="19"/>
      <c r="B42" s="131">
        <f>DATE(2013,10,1)</f>
        <v>41548</v>
      </c>
      <c r="C42" s="204">
        <v>851045</v>
      </c>
      <c r="D42" s="204">
        <v>282921</v>
      </c>
      <c r="E42" s="204">
        <v>272105</v>
      </c>
      <c r="F42" s="132">
        <f t="shared" si="4"/>
        <v>0.03974936145973062</v>
      </c>
      <c r="G42" s="215">
        <f t="shared" si="5"/>
        <v>0.3324395302246062</v>
      </c>
      <c r="H42" s="123"/>
    </row>
    <row r="43" spans="1:8" ht="15.75">
      <c r="A43" s="19"/>
      <c r="B43" s="131">
        <f>DATE(2013,11,1)</f>
        <v>41579</v>
      </c>
      <c r="C43" s="204">
        <v>1062125</v>
      </c>
      <c r="D43" s="204">
        <v>255459</v>
      </c>
      <c r="E43" s="204">
        <v>282071.5</v>
      </c>
      <c r="F43" s="132">
        <f t="shared" si="4"/>
        <v>-0.09434664615177357</v>
      </c>
      <c r="G43" s="215">
        <f t="shared" si="5"/>
        <v>0.24051688831352241</v>
      </c>
      <c r="H43" s="123"/>
    </row>
    <row r="44" spans="1:8" ht="15.75">
      <c r="A44" s="19"/>
      <c r="B44" s="131">
        <f>DATE(2013,12,1)</f>
        <v>41609</v>
      </c>
      <c r="C44" s="204">
        <v>973640</v>
      </c>
      <c r="D44" s="204">
        <v>249521</v>
      </c>
      <c r="E44" s="204">
        <v>244389</v>
      </c>
      <c r="F44" s="132">
        <f t="shared" si="4"/>
        <v>0.020999308479514218</v>
      </c>
      <c r="G44" s="215">
        <f t="shared" si="5"/>
        <v>0.2562764471467894</v>
      </c>
      <c r="H44" s="123"/>
    </row>
    <row r="45" spans="1:8" ht="15.75">
      <c r="A45" s="19"/>
      <c r="B45" s="131">
        <f>DATE(2014,1,1)</f>
        <v>41640</v>
      </c>
      <c r="C45" s="204">
        <v>1012946</v>
      </c>
      <c r="D45" s="204">
        <v>304707.5</v>
      </c>
      <c r="E45" s="204">
        <v>289033.5</v>
      </c>
      <c r="F45" s="132">
        <f t="shared" si="4"/>
        <v>0.05422900805615958</v>
      </c>
      <c r="G45" s="215">
        <f t="shared" si="5"/>
        <v>0.30081317266665747</v>
      </c>
      <c r="H45" s="123"/>
    </row>
    <row r="46" spans="1:8" ht="15.75">
      <c r="A46" s="19"/>
      <c r="B46" s="131">
        <f>DATE(2014,2,1)</f>
        <v>41671</v>
      </c>
      <c r="C46" s="204">
        <v>1029478</v>
      </c>
      <c r="D46" s="204">
        <v>284188</v>
      </c>
      <c r="E46" s="204">
        <v>244647.5</v>
      </c>
      <c r="F46" s="132">
        <f t="shared" si="4"/>
        <v>0.1616223341746799</v>
      </c>
      <c r="G46" s="215">
        <f t="shared" si="5"/>
        <v>0.27605058097404706</v>
      </c>
      <c r="H46" s="123"/>
    </row>
    <row r="47" spans="1:8" ht="15.75">
      <c r="A47" s="19"/>
      <c r="B47" s="131">
        <f>DATE(2014,3,1)</f>
        <v>41699</v>
      </c>
      <c r="C47" s="204">
        <v>1181486</v>
      </c>
      <c r="D47" s="204">
        <v>335496</v>
      </c>
      <c r="E47" s="204">
        <v>319165</v>
      </c>
      <c r="F47" s="132">
        <f t="shared" si="4"/>
        <v>0.05116789121614212</v>
      </c>
      <c r="G47" s="215">
        <f t="shared" si="5"/>
        <v>0.2839610456662203</v>
      </c>
      <c r="H47" s="123"/>
    </row>
    <row r="48" spans="1:8" ht="15.75">
      <c r="A48" s="19"/>
      <c r="B48" s="131">
        <f>DATE(2014,4,1)</f>
        <v>41730</v>
      </c>
      <c r="C48" s="204">
        <v>1027074</v>
      </c>
      <c r="D48" s="204">
        <v>306756.5</v>
      </c>
      <c r="E48" s="204">
        <v>224887.5</v>
      </c>
      <c r="F48" s="132">
        <f t="shared" si="4"/>
        <v>0.3640442443443944</v>
      </c>
      <c r="G48" s="215">
        <f t="shared" si="5"/>
        <v>0.2986703002899499</v>
      </c>
      <c r="H48" s="123"/>
    </row>
    <row r="49" spans="1:8" ht="15.75">
      <c r="A49" s="19"/>
      <c r="B49" s="131">
        <f>DATE(2014,5,1)</f>
        <v>41760</v>
      </c>
      <c r="C49" s="204">
        <v>1119084</v>
      </c>
      <c r="D49" s="204">
        <v>232797</v>
      </c>
      <c r="E49" s="204">
        <v>253990</v>
      </c>
      <c r="F49" s="132">
        <f t="shared" si="4"/>
        <v>-0.08344029292491831</v>
      </c>
      <c r="G49" s="215">
        <f t="shared" si="5"/>
        <v>0.2080245986896426</v>
      </c>
      <c r="H49" s="123"/>
    </row>
    <row r="50" spans="1:8" ht="15.75">
      <c r="A50" s="19"/>
      <c r="B50" s="131">
        <f>DATE(2014,6,1)</f>
        <v>41791</v>
      </c>
      <c r="C50" s="204">
        <v>934636</v>
      </c>
      <c r="D50" s="204">
        <v>225870</v>
      </c>
      <c r="E50" s="204">
        <v>224228.5</v>
      </c>
      <c r="F50" s="132">
        <f t="shared" si="4"/>
        <v>0.007320657275948419</v>
      </c>
      <c r="G50" s="215">
        <f t="shared" si="5"/>
        <v>0.2416662743570759</v>
      </c>
      <c r="H50" s="123"/>
    </row>
    <row r="51" spans="1:8" ht="15.75" thickBot="1">
      <c r="A51" s="133"/>
      <c r="B51" s="131"/>
      <c r="C51" s="204"/>
      <c r="D51" s="204"/>
      <c r="E51" s="204"/>
      <c r="F51" s="132"/>
      <c r="G51" s="215"/>
      <c r="H51" s="123"/>
    </row>
    <row r="52" spans="1:8" ht="17.25" thickBot="1" thickTop="1">
      <c r="A52" s="141" t="s">
        <v>14</v>
      </c>
      <c r="B52" s="142"/>
      <c r="C52" s="206">
        <f>SUM(C39:C51)</f>
        <v>12312302</v>
      </c>
      <c r="D52" s="206">
        <f>SUM(D39:D51)</f>
        <v>3423664.5</v>
      </c>
      <c r="E52" s="206">
        <f>SUM(E39:E51)</f>
        <v>3340345.5</v>
      </c>
      <c r="F52" s="143">
        <f>(+D52-E52)/E52</f>
        <v>0.02494322817804326</v>
      </c>
      <c r="G52" s="217">
        <f>D52/C52</f>
        <v>0.2780685935091586</v>
      </c>
      <c r="H52" s="123"/>
    </row>
    <row r="53" spans="1:8" ht="15.75" thickTop="1">
      <c r="A53" s="133"/>
      <c r="B53" s="134"/>
      <c r="C53" s="204"/>
      <c r="D53" s="204"/>
      <c r="E53" s="204"/>
      <c r="F53" s="132"/>
      <c r="G53" s="218"/>
      <c r="H53" s="123"/>
    </row>
    <row r="54" spans="1:8" ht="15.75">
      <c r="A54" s="177" t="s">
        <v>74</v>
      </c>
      <c r="B54" s="131">
        <f>DATE(2013,7,1)</f>
        <v>41456</v>
      </c>
      <c r="C54" s="204">
        <v>12903826</v>
      </c>
      <c r="D54" s="204">
        <v>2879949.68</v>
      </c>
      <c r="E54" s="204">
        <v>3547727.46</v>
      </c>
      <c r="F54" s="132">
        <f aca="true" t="shared" si="6" ref="F54:F65">(+D54-E54)/E54</f>
        <v>-0.18822691075599132</v>
      </c>
      <c r="G54" s="215">
        <f aca="true" t="shared" si="7" ref="G54:G65">D54/C54</f>
        <v>0.22318571871629392</v>
      </c>
      <c r="H54" s="123"/>
    </row>
    <row r="55" spans="1:8" ht="15.75">
      <c r="A55" s="177"/>
      <c r="B55" s="131">
        <f>DATE(2013,8,1)</f>
        <v>41487</v>
      </c>
      <c r="C55" s="204">
        <v>12820066</v>
      </c>
      <c r="D55" s="204">
        <v>2484831.68</v>
      </c>
      <c r="E55" s="204">
        <v>2611181.79</v>
      </c>
      <c r="F55" s="132">
        <f t="shared" si="6"/>
        <v>-0.048388094036149</v>
      </c>
      <c r="G55" s="215">
        <f t="shared" si="7"/>
        <v>0.19382362618101967</v>
      </c>
      <c r="H55" s="123"/>
    </row>
    <row r="56" spans="1:8" ht="15.75">
      <c r="A56" s="177"/>
      <c r="B56" s="131">
        <f>DATE(2013,9,1)</f>
        <v>41518</v>
      </c>
      <c r="C56" s="204">
        <v>12113708</v>
      </c>
      <c r="D56" s="204">
        <v>2818834.5</v>
      </c>
      <c r="E56" s="204">
        <v>3424627.93</v>
      </c>
      <c r="F56" s="132">
        <f t="shared" si="6"/>
        <v>-0.17689321070274636</v>
      </c>
      <c r="G56" s="215">
        <f t="shared" si="7"/>
        <v>0.23269790719736683</v>
      </c>
      <c r="H56" s="123"/>
    </row>
    <row r="57" spans="1:8" ht="15.75">
      <c r="A57" s="177"/>
      <c r="B57" s="131">
        <f>DATE(2013,10,1)</f>
        <v>41548</v>
      </c>
      <c r="C57" s="204">
        <v>11903592</v>
      </c>
      <c r="D57" s="204">
        <v>2363858.13</v>
      </c>
      <c r="E57" s="204">
        <v>2849439.11</v>
      </c>
      <c r="F57" s="132">
        <f t="shared" si="6"/>
        <v>-0.17041282907077104</v>
      </c>
      <c r="G57" s="215">
        <f t="shared" si="7"/>
        <v>0.19858359812735515</v>
      </c>
      <c r="H57" s="123"/>
    </row>
    <row r="58" spans="1:8" ht="15.75">
      <c r="A58" s="177"/>
      <c r="B58" s="131">
        <f>DATE(2013,11,1)</f>
        <v>41579</v>
      </c>
      <c r="C58" s="204">
        <v>12161644.16</v>
      </c>
      <c r="D58" s="204">
        <v>2362571.5</v>
      </c>
      <c r="E58" s="204">
        <f>2682537.19+89676.5</f>
        <v>2772213.69</v>
      </c>
      <c r="F58" s="132">
        <f t="shared" si="6"/>
        <v>-0.14776717663492958</v>
      </c>
      <c r="G58" s="215">
        <f t="shared" si="7"/>
        <v>0.19426415284954365</v>
      </c>
      <c r="H58" s="123"/>
    </row>
    <row r="59" spans="1:8" ht="15.75">
      <c r="A59" s="177"/>
      <c r="B59" s="131">
        <f>DATE(2013,12,1)</f>
        <v>41609</v>
      </c>
      <c r="C59" s="204">
        <v>13405354</v>
      </c>
      <c r="D59" s="204">
        <v>2755305.96</v>
      </c>
      <c r="E59" s="204">
        <v>3660230.9</v>
      </c>
      <c r="F59" s="132">
        <f t="shared" si="6"/>
        <v>-0.24723165415602605</v>
      </c>
      <c r="G59" s="215">
        <f t="shared" si="7"/>
        <v>0.2055377247031298</v>
      </c>
      <c r="H59" s="123"/>
    </row>
    <row r="60" spans="1:8" ht="15.75">
      <c r="A60" s="177"/>
      <c r="B60" s="131">
        <f>DATE(2014,1,1)</f>
        <v>41640</v>
      </c>
      <c r="C60" s="204">
        <v>12028159</v>
      </c>
      <c r="D60" s="204">
        <v>2460387.11</v>
      </c>
      <c r="E60" s="204">
        <v>2448142.78</v>
      </c>
      <c r="F60" s="132">
        <f t="shared" si="6"/>
        <v>0.005001477078881844</v>
      </c>
      <c r="G60" s="215">
        <f t="shared" si="7"/>
        <v>0.20455226024198714</v>
      </c>
      <c r="H60" s="123"/>
    </row>
    <row r="61" spans="1:8" ht="15.75">
      <c r="A61" s="177"/>
      <c r="B61" s="131">
        <f>DATE(2014,2,1)</f>
        <v>41671</v>
      </c>
      <c r="C61" s="204">
        <v>12430833</v>
      </c>
      <c r="D61" s="204">
        <v>2900728.72</v>
      </c>
      <c r="E61" s="204">
        <v>3354852.8</v>
      </c>
      <c r="F61" s="132">
        <f t="shared" si="6"/>
        <v>-0.1353633399355106</v>
      </c>
      <c r="G61" s="215">
        <f t="shared" si="7"/>
        <v>0.23334950441374283</v>
      </c>
      <c r="H61" s="123"/>
    </row>
    <row r="62" spans="1:8" ht="15.75">
      <c r="A62" s="177"/>
      <c r="B62" s="131">
        <f>DATE(2014,3,1)</f>
        <v>41699</v>
      </c>
      <c r="C62" s="204">
        <v>14160893</v>
      </c>
      <c r="D62" s="204">
        <v>2943234.88</v>
      </c>
      <c r="E62" s="204">
        <v>3424682.24</v>
      </c>
      <c r="F62" s="132">
        <f t="shared" si="6"/>
        <v>-0.1405816149529833</v>
      </c>
      <c r="G62" s="215">
        <f t="shared" si="7"/>
        <v>0.20784246304240842</v>
      </c>
      <c r="H62" s="123"/>
    </row>
    <row r="63" spans="1:8" ht="15.75">
      <c r="A63" s="177"/>
      <c r="B63" s="131">
        <f>DATE(2014,4,1)</f>
        <v>41730</v>
      </c>
      <c r="C63" s="204">
        <v>12349822.01</v>
      </c>
      <c r="D63" s="204">
        <v>2548272.3</v>
      </c>
      <c r="E63" s="204">
        <v>2871096.95</v>
      </c>
      <c r="F63" s="132">
        <f t="shared" si="6"/>
        <v>-0.11243948066609187</v>
      </c>
      <c r="G63" s="215">
        <f t="shared" si="7"/>
        <v>0.2063408118705348</v>
      </c>
      <c r="H63" s="123"/>
    </row>
    <row r="64" spans="1:8" ht="15.75">
      <c r="A64" s="177"/>
      <c r="B64" s="131">
        <f>DATE(2014,5,1)</f>
        <v>41760</v>
      </c>
      <c r="C64" s="204">
        <v>12621497</v>
      </c>
      <c r="D64" s="204">
        <v>1815051.36</v>
      </c>
      <c r="E64" s="204">
        <v>2915980.78</v>
      </c>
      <c r="F64" s="132">
        <f t="shared" si="6"/>
        <v>-0.37755030058874384</v>
      </c>
      <c r="G64" s="215">
        <f t="shared" si="7"/>
        <v>0.14380634563396086</v>
      </c>
      <c r="H64" s="123"/>
    </row>
    <row r="65" spans="1:8" ht="15.75">
      <c r="A65" s="177"/>
      <c r="B65" s="131">
        <f>DATE(2014,6,1)</f>
        <v>41791</v>
      </c>
      <c r="C65" s="204">
        <v>11459839</v>
      </c>
      <c r="D65" s="204">
        <v>2355459.91</v>
      </c>
      <c r="E65" s="204">
        <v>2067890.03</v>
      </c>
      <c r="F65" s="132">
        <f t="shared" si="6"/>
        <v>0.1390643969592523</v>
      </c>
      <c r="G65" s="215">
        <f t="shared" si="7"/>
        <v>0.20554040157108666</v>
      </c>
      <c r="H65" s="123"/>
    </row>
    <row r="66" spans="1:8" ht="15.75" customHeight="1" thickBot="1">
      <c r="A66" s="133"/>
      <c r="B66" s="134"/>
      <c r="C66" s="204"/>
      <c r="D66" s="204"/>
      <c r="E66" s="204"/>
      <c r="F66" s="132"/>
      <c r="G66" s="215"/>
      <c r="H66" s="123"/>
    </row>
    <row r="67" spans="1:8" ht="17.25" customHeight="1" thickBot="1" thickTop="1">
      <c r="A67" s="141" t="s">
        <v>14</v>
      </c>
      <c r="B67" s="142"/>
      <c r="C67" s="206">
        <f>SUM(C54:C66)</f>
        <v>150359233.17000002</v>
      </c>
      <c r="D67" s="206">
        <f>SUM(D54:D66)</f>
        <v>30688485.729999997</v>
      </c>
      <c r="E67" s="206">
        <f>SUM(E54:E66)</f>
        <v>35948066.46</v>
      </c>
      <c r="F67" s="143">
        <f>(+D67-E67)/E67</f>
        <v>-0.14631053205190953</v>
      </c>
      <c r="G67" s="217">
        <f>D67/C67</f>
        <v>0.20410110561885353</v>
      </c>
      <c r="H67" s="123"/>
    </row>
    <row r="68" spans="1:8" ht="15.75" customHeight="1" thickTop="1">
      <c r="A68" s="133"/>
      <c r="B68" s="134"/>
      <c r="C68" s="204"/>
      <c r="D68" s="204"/>
      <c r="E68" s="204"/>
      <c r="F68" s="132"/>
      <c r="G68" s="218"/>
      <c r="H68" s="123"/>
    </row>
    <row r="69" spans="1:8" ht="15" customHeight="1">
      <c r="A69" s="130" t="s">
        <v>39</v>
      </c>
      <c r="B69" s="131">
        <f>DATE(2013,7,1)</f>
        <v>41456</v>
      </c>
      <c r="C69" s="204">
        <v>11278343.05</v>
      </c>
      <c r="D69" s="204">
        <v>2762564.05</v>
      </c>
      <c r="E69" s="204">
        <v>3113904.75</v>
      </c>
      <c r="F69" s="132">
        <f aca="true" t="shared" si="8" ref="F69:F80">(+D69-E69)/E69</f>
        <v>-0.11282962332100883</v>
      </c>
      <c r="G69" s="215">
        <f aca="true" t="shared" si="9" ref="G69:G80">D69/C69</f>
        <v>0.24494414097467976</v>
      </c>
      <c r="H69" s="123"/>
    </row>
    <row r="70" spans="1:8" ht="15" customHeight="1">
      <c r="A70" s="130"/>
      <c r="B70" s="131">
        <f>DATE(2013,8,1)</f>
        <v>41487</v>
      </c>
      <c r="C70" s="204">
        <v>11244580</v>
      </c>
      <c r="D70" s="204">
        <v>2695314.5</v>
      </c>
      <c r="E70" s="204">
        <v>2533178.5</v>
      </c>
      <c r="F70" s="132">
        <f t="shared" si="8"/>
        <v>0.06400496451394957</v>
      </c>
      <c r="G70" s="215">
        <f t="shared" si="9"/>
        <v>0.2396989927591782</v>
      </c>
      <c r="H70" s="123"/>
    </row>
    <row r="71" spans="1:8" ht="15" customHeight="1">
      <c r="A71" s="130"/>
      <c r="B71" s="131">
        <f>DATE(2013,9,1)</f>
        <v>41518</v>
      </c>
      <c r="C71" s="204">
        <v>11089418.5</v>
      </c>
      <c r="D71" s="204">
        <v>2489578</v>
      </c>
      <c r="E71" s="204">
        <v>2230775</v>
      </c>
      <c r="F71" s="132">
        <f t="shared" si="8"/>
        <v>0.11601483789266062</v>
      </c>
      <c r="G71" s="215">
        <f t="shared" si="9"/>
        <v>0.22450031983191904</v>
      </c>
      <c r="H71" s="123"/>
    </row>
    <row r="72" spans="1:8" ht="15" customHeight="1">
      <c r="A72" s="130"/>
      <c r="B72" s="131">
        <f>DATE(2013,10,1)</f>
        <v>41548</v>
      </c>
      <c r="C72" s="204">
        <v>11812078.01</v>
      </c>
      <c r="D72" s="204">
        <v>3395869.51</v>
      </c>
      <c r="E72" s="204">
        <v>2521904.5</v>
      </c>
      <c r="F72" s="132">
        <f t="shared" si="8"/>
        <v>0.3465496056650836</v>
      </c>
      <c r="G72" s="215">
        <f t="shared" si="9"/>
        <v>0.28749128706440025</v>
      </c>
      <c r="H72" s="123"/>
    </row>
    <row r="73" spans="1:8" ht="15" customHeight="1">
      <c r="A73" s="130"/>
      <c r="B73" s="131">
        <f>DATE(2013,11,1)</f>
        <v>41579</v>
      </c>
      <c r="C73" s="204">
        <v>12373525</v>
      </c>
      <c r="D73" s="204">
        <v>3253002.5</v>
      </c>
      <c r="E73" s="204">
        <v>2219090.75</v>
      </c>
      <c r="F73" s="132">
        <f t="shared" si="8"/>
        <v>0.4659168400391016</v>
      </c>
      <c r="G73" s="215">
        <f t="shared" si="9"/>
        <v>0.2629002244711996</v>
      </c>
      <c r="H73" s="123"/>
    </row>
    <row r="74" spans="1:8" ht="15" customHeight="1">
      <c r="A74" s="130"/>
      <c r="B74" s="131">
        <f>DATE(2013,12,1)</f>
        <v>41609</v>
      </c>
      <c r="C74" s="204">
        <v>11743554.5</v>
      </c>
      <c r="D74" s="204">
        <v>2630072</v>
      </c>
      <c r="E74" s="204">
        <v>2215745.75</v>
      </c>
      <c r="F74" s="132">
        <f t="shared" si="8"/>
        <v>0.18699178369178865</v>
      </c>
      <c r="G74" s="215">
        <f t="shared" si="9"/>
        <v>0.22395876819067004</v>
      </c>
      <c r="H74" s="123"/>
    </row>
    <row r="75" spans="1:8" ht="15" customHeight="1">
      <c r="A75" s="130"/>
      <c r="B75" s="131">
        <f>DATE(2014,1,1)</f>
        <v>41640</v>
      </c>
      <c r="C75" s="204">
        <v>11173004</v>
      </c>
      <c r="D75" s="204">
        <v>2502587</v>
      </c>
      <c r="E75" s="204">
        <v>2145303.5</v>
      </c>
      <c r="F75" s="132">
        <f t="shared" si="8"/>
        <v>0.166542169907428</v>
      </c>
      <c r="G75" s="215">
        <f t="shared" si="9"/>
        <v>0.2239851520683247</v>
      </c>
      <c r="H75" s="123"/>
    </row>
    <row r="76" spans="1:8" ht="15" customHeight="1">
      <c r="A76" s="130"/>
      <c r="B76" s="131">
        <f>DATE(2014,2,1)</f>
        <v>41671</v>
      </c>
      <c r="C76" s="204">
        <v>11165819</v>
      </c>
      <c r="D76" s="204">
        <v>2457687</v>
      </c>
      <c r="E76" s="204">
        <v>2377587</v>
      </c>
      <c r="F76" s="132">
        <f t="shared" si="8"/>
        <v>0.03368961892877106</v>
      </c>
      <c r="G76" s="215">
        <f t="shared" si="9"/>
        <v>0.2201080816373613</v>
      </c>
      <c r="H76" s="123"/>
    </row>
    <row r="77" spans="1:8" ht="15" customHeight="1">
      <c r="A77" s="130"/>
      <c r="B77" s="131">
        <f>DATE(2014,3,1)</f>
        <v>41699</v>
      </c>
      <c r="C77" s="204">
        <v>12904326</v>
      </c>
      <c r="D77" s="204">
        <v>2951671</v>
      </c>
      <c r="E77" s="204">
        <v>3169568.01</v>
      </c>
      <c r="F77" s="132">
        <f t="shared" si="8"/>
        <v>-0.06874659553369224</v>
      </c>
      <c r="G77" s="215">
        <f t="shared" si="9"/>
        <v>0.22873499941027528</v>
      </c>
      <c r="H77" s="123"/>
    </row>
    <row r="78" spans="1:8" ht="15" customHeight="1">
      <c r="A78" s="130"/>
      <c r="B78" s="131">
        <f>DATE(2014,4,1)</f>
        <v>41730</v>
      </c>
      <c r="C78" s="204">
        <v>13662467.5</v>
      </c>
      <c r="D78" s="204">
        <v>2967777.5</v>
      </c>
      <c r="E78" s="204">
        <v>2426949.76</v>
      </c>
      <c r="F78" s="132">
        <f t="shared" si="8"/>
        <v>0.22284257750766143</v>
      </c>
      <c r="G78" s="215">
        <f t="shared" si="9"/>
        <v>0.21722119375581314</v>
      </c>
      <c r="H78" s="123"/>
    </row>
    <row r="79" spans="1:8" ht="15" customHeight="1">
      <c r="A79" s="130"/>
      <c r="B79" s="131">
        <f>DATE(2014,5,1)</f>
        <v>41760</v>
      </c>
      <c r="C79" s="204">
        <v>13700012</v>
      </c>
      <c r="D79" s="204">
        <v>3327881</v>
      </c>
      <c r="E79" s="204">
        <v>2873497.51</v>
      </c>
      <c r="F79" s="132">
        <f t="shared" si="8"/>
        <v>0.15812907038155055</v>
      </c>
      <c r="G79" s="215">
        <f t="shared" si="9"/>
        <v>0.24291080912921828</v>
      </c>
      <c r="H79" s="123"/>
    </row>
    <row r="80" spans="1:8" ht="15" customHeight="1">
      <c r="A80" s="130"/>
      <c r="B80" s="131">
        <f>DATE(2014,6,1)</f>
        <v>41791</v>
      </c>
      <c r="C80" s="204">
        <v>13059522.5</v>
      </c>
      <c r="D80" s="204">
        <v>2974198.5</v>
      </c>
      <c r="E80" s="204">
        <v>2618207.5</v>
      </c>
      <c r="F80" s="132">
        <f t="shared" si="8"/>
        <v>0.13596745101371835</v>
      </c>
      <c r="G80" s="215">
        <f t="shared" si="9"/>
        <v>0.2277417493633477</v>
      </c>
      <c r="H80" s="123"/>
    </row>
    <row r="81" spans="1:8" ht="15.75" thickBot="1">
      <c r="A81" s="133"/>
      <c r="B81" s="131"/>
      <c r="C81" s="204"/>
      <c r="D81" s="204"/>
      <c r="E81" s="204"/>
      <c r="F81" s="132"/>
      <c r="G81" s="215"/>
      <c r="H81" s="123"/>
    </row>
    <row r="82" spans="1:8" ht="17.25" customHeight="1" thickBot="1" thickTop="1">
      <c r="A82" s="141" t="s">
        <v>14</v>
      </c>
      <c r="B82" s="142"/>
      <c r="C82" s="207">
        <f>SUM(C69:C81)</f>
        <v>145206650.06</v>
      </c>
      <c r="D82" s="263">
        <f>SUM(D69:D81)</f>
        <v>34408202.56</v>
      </c>
      <c r="E82" s="206">
        <f>SUM(E69:E81)</f>
        <v>30445712.529999994</v>
      </c>
      <c r="F82" s="270">
        <f>(+D82-E82)/E82</f>
        <v>0.13014936096816682</v>
      </c>
      <c r="G82" s="269">
        <f>D82/C82</f>
        <v>0.23696023939525074</v>
      </c>
      <c r="H82" s="123"/>
    </row>
    <row r="83" spans="1:8" ht="15.75" customHeight="1" thickTop="1">
      <c r="A83" s="130"/>
      <c r="B83" s="134"/>
      <c r="C83" s="204"/>
      <c r="D83" s="204"/>
      <c r="E83" s="204"/>
      <c r="F83" s="132"/>
      <c r="G83" s="218"/>
      <c r="H83" s="123"/>
    </row>
    <row r="84" spans="1:8" ht="15.75">
      <c r="A84" s="130" t="s">
        <v>64</v>
      </c>
      <c r="B84" s="131">
        <f>DATE(2013,7,1)</f>
        <v>41456</v>
      </c>
      <c r="C84" s="204">
        <v>2647901</v>
      </c>
      <c r="D84" s="204">
        <v>576221.5</v>
      </c>
      <c r="E84" s="204">
        <v>0</v>
      </c>
      <c r="F84" s="132">
        <v>1</v>
      </c>
      <c r="G84" s="215">
        <f aca="true" t="shared" si="10" ref="G84:G95">D84/C84</f>
        <v>0.21761444253391649</v>
      </c>
      <c r="H84" s="123"/>
    </row>
    <row r="85" spans="1:8" ht="15.75">
      <c r="A85" s="130"/>
      <c r="B85" s="131">
        <f>DATE(2013,8,1)</f>
        <v>41487</v>
      </c>
      <c r="C85" s="204">
        <v>2705347</v>
      </c>
      <c r="D85" s="204">
        <v>484224</v>
      </c>
      <c r="E85" s="204">
        <v>0</v>
      </c>
      <c r="F85" s="132">
        <v>1</v>
      </c>
      <c r="G85" s="215">
        <f t="shared" si="10"/>
        <v>0.17898776016533183</v>
      </c>
      <c r="H85" s="123"/>
    </row>
    <row r="86" spans="1:8" ht="15.75">
      <c r="A86" s="130"/>
      <c r="B86" s="131">
        <f>DATE(2013,9,1)</f>
        <v>41518</v>
      </c>
      <c r="C86" s="204">
        <v>2242997</v>
      </c>
      <c r="D86" s="204">
        <v>503451</v>
      </c>
      <c r="E86" s="204">
        <v>0</v>
      </c>
      <c r="F86" s="132">
        <v>1</v>
      </c>
      <c r="G86" s="215">
        <f t="shared" si="10"/>
        <v>0.2244546024805205</v>
      </c>
      <c r="H86" s="123"/>
    </row>
    <row r="87" spans="1:8" ht="15.75">
      <c r="A87" s="130"/>
      <c r="B87" s="131">
        <f>DATE(2013,10,1)</f>
        <v>41548</v>
      </c>
      <c r="C87" s="204">
        <v>2202979</v>
      </c>
      <c r="D87" s="204">
        <v>502149.5</v>
      </c>
      <c r="E87" s="204">
        <v>76884.5</v>
      </c>
      <c r="F87" s="132">
        <f aca="true" t="shared" si="11" ref="F87:F95">(+D87-E87)/E87</f>
        <v>5.5312189062815005</v>
      </c>
      <c r="G87" s="215">
        <f t="shared" si="10"/>
        <v>0.22794111972923936</v>
      </c>
      <c r="H87" s="123"/>
    </row>
    <row r="88" spans="1:8" ht="15.75">
      <c r="A88" s="130"/>
      <c r="B88" s="131">
        <f>DATE(2013,11,1)</f>
        <v>41579</v>
      </c>
      <c r="C88" s="204">
        <v>2121838</v>
      </c>
      <c r="D88" s="204">
        <v>533704.5</v>
      </c>
      <c r="E88" s="204">
        <v>760699</v>
      </c>
      <c r="F88" s="132">
        <f t="shared" si="11"/>
        <v>-0.2984025218910502</v>
      </c>
      <c r="G88" s="215">
        <f t="shared" si="10"/>
        <v>0.25152933447322556</v>
      </c>
      <c r="H88" s="123"/>
    </row>
    <row r="89" spans="1:8" ht="15.75">
      <c r="A89" s="130"/>
      <c r="B89" s="131">
        <f>DATE(2013,12,1)</f>
        <v>41609</v>
      </c>
      <c r="C89" s="204">
        <v>2424752</v>
      </c>
      <c r="D89" s="204">
        <v>531193.5</v>
      </c>
      <c r="E89" s="204">
        <v>776234.5</v>
      </c>
      <c r="F89" s="132">
        <f t="shared" si="11"/>
        <v>-0.3156790892442941</v>
      </c>
      <c r="G89" s="215">
        <f t="shared" si="10"/>
        <v>0.21907126996905252</v>
      </c>
      <c r="H89" s="123"/>
    </row>
    <row r="90" spans="1:8" ht="15.75">
      <c r="A90" s="130"/>
      <c r="B90" s="131">
        <f>DATE(2014,1,1)</f>
        <v>41640</v>
      </c>
      <c r="C90" s="204">
        <v>2469928</v>
      </c>
      <c r="D90" s="204">
        <v>601577.5</v>
      </c>
      <c r="E90" s="204">
        <v>749343</v>
      </c>
      <c r="F90" s="132">
        <f t="shared" si="11"/>
        <v>-0.19719340809215538</v>
      </c>
      <c r="G90" s="215">
        <f t="shared" si="10"/>
        <v>0.24356074347106474</v>
      </c>
      <c r="H90" s="123"/>
    </row>
    <row r="91" spans="1:8" ht="15.75">
      <c r="A91" s="130"/>
      <c r="B91" s="131">
        <f>DATE(2014,2,1)</f>
        <v>41671</v>
      </c>
      <c r="C91" s="204">
        <v>2925360</v>
      </c>
      <c r="D91" s="204">
        <v>578293</v>
      </c>
      <c r="E91" s="204">
        <v>867446</v>
      </c>
      <c r="F91" s="132">
        <f t="shared" si="11"/>
        <v>-0.33333832884121894</v>
      </c>
      <c r="G91" s="215">
        <f t="shared" si="10"/>
        <v>0.197682678371209</v>
      </c>
      <c r="H91" s="123"/>
    </row>
    <row r="92" spans="1:8" ht="15.75">
      <c r="A92" s="130"/>
      <c r="B92" s="131">
        <f>DATE(2014,3,1)</f>
        <v>41699</v>
      </c>
      <c r="C92" s="204">
        <v>3050585</v>
      </c>
      <c r="D92" s="204">
        <v>706561.5</v>
      </c>
      <c r="E92" s="204">
        <v>897877.5</v>
      </c>
      <c r="F92" s="132">
        <f t="shared" si="11"/>
        <v>-0.2130758371826892</v>
      </c>
      <c r="G92" s="215">
        <f t="shared" si="10"/>
        <v>0.2316150836642808</v>
      </c>
      <c r="H92" s="123"/>
    </row>
    <row r="93" spans="1:8" ht="15.75">
      <c r="A93" s="130"/>
      <c r="B93" s="131">
        <f>DATE(2014,4,1)</f>
        <v>41730</v>
      </c>
      <c r="C93" s="204">
        <v>2624367</v>
      </c>
      <c r="D93" s="204">
        <v>696512.5</v>
      </c>
      <c r="E93" s="204">
        <v>730894</v>
      </c>
      <c r="F93" s="132">
        <f t="shared" si="11"/>
        <v>-0.04704033690247834</v>
      </c>
      <c r="G93" s="215">
        <f t="shared" si="10"/>
        <v>0.2654020950575891</v>
      </c>
      <c r="H93" s="123"/>
    </row>
    <row r="94" spans="1:8" ht="15.75">
      <c r="A94" s="130"/>
      <c r="B94" s="131">
        <f>DATE(2014,5,1)</f>
        <v>41760</v>
      </c>
      <c r="C94" s="204">
        <v>2849993</v>
      </c>
      <c r="D94" s="204">
        <v>658091</v>
      </c>
      <c r="E94" s="204">
        <v>657838</v>
      </c>
      <c r="F94" s="132">
        <f t="shared" si="11"/>
        <v>0.0003845931673147492</v>
      </c>
      <c r="G94" s="215">
        <f t="shared" si="10"/>
        <v>0.23090968995362446</v>
      </c>
      <c r="H94" s="123"/>
    </row>
    <row r="95" spans="1:8" ht="15.75">
      <c r="A95" s="130"/>
      <c r="B95" s="131">
        <f>DATE(2014,6,1)</f>
        <v>41791</v>
      </c>
      <c r="C95" s="204">
        <v>2540525</v>
      </c>
      <c r="D95" s="204">
        <v>482853</v>
      </c>
      <c r="E95" s="204">
        <v>547938</v>
      </c>
      <c r="F95" s="132">
        <f t="shared" si="11"/>
        <v>-0.11878168697918377</v>
      </c>
      <c r="G95" s="215">
        <f t="shared" si="10"/>
        <v>0.19006032217750268</v>
      </c>
      <c r="H95" s="123"/>
    </row>
    <row r="96" spans="1:8" ht="15.75" customHeight="1" thickBot="1">
      <c r="A96" s="130"/>
      <c r="B96" s="131"/>
      <c r="C96" s="204"/>
      <c r="D96" s="204"/>
      <c r="E96" s="204"/>
      <c r="F96" s="132"/>
      <c r="G96" s="215"/>
      <c r="H96" s="123"/>
    </row>
    <row r="97" spans="1:8" ht="17.25" thickBot="1" thickTop="1">
      <c r="A97" s="141" t="s">
        <v>14</v>
      </c>
      <c r="B97" s="142"/>
      <c r="C97" s="207">
        <f>SUM(C84:C96)</f>
        <v>30806572</v>
      </c>
      <c r="D97" s="263">
        <f>SUM(D84:D96)</f>
        <v>6854832.5</v>
      </c>
      <c r="E97" s="207">
        <f>SUM(E84:E96)</f>
        <v>6065154.5</v>
      </c>
      <c r="F97" s="270">
        <f>(+D97-E97)/E97</f>
        <v>0.13019915650953326</v>
      </c>
      <c r="G97" s="269">
        <f>D97/C97</f>
        <v>0.22251201789020864</v>
      </c>
      <c r="H97" s="123"/>
    </row>
    <row r="98" spans="1:8" ht="15.75" customHeight="1" thickTop="1">
      <c r="A98" s="130"/>
      <c r="B98" s="134"/>
      <c r="C98" s="204"/>
      <c r="D98" s="204"/>
      <c r="E98" s="204"/>
      <c r="F98" s="132"/>
      <c r="G98" s="218"/>
      <c r="H98" s="123"/>
    </row>
    <row r="99" spans="1:8" ht="15.75">
      <c r="A99" s="130" t="s">
        <v>17</v>
      </c>
      <c r="B99" s="131">
        <f>DATE(2013,7,1)</f>
        <v>41456</v>
      </c>
      <c r="C99" s="204">
        <v>2105060</v>
      </c>
      <c r="D99" s="204">
        <v>408942</v>
      </c>
      <c r="E99" s="204">
        <v>332508</v>
      </c>
      <c r="F99" s="132">
        <f aca="true" t="shared" si="12" ref="F99:F110">(+D99-E99)/E99</f>
        <v>0.22987116099462268</v>
      </c>
      <c r="G99" s="215">
        <f aca="true" t="shared" si="13" ref="G99:G110">D99/C99</f>
        <v>0.1942661966879804</v>
      </c>
      <c r="H99" s="123"/>
    </row>
    <row r="100" spans="1:8" ht="15.75">
      <c r="A100" s="130"/>
      <c r="B100" s="131">
        <f>DATE(2013,8,1)</f>
        <v>41487</v>
      </c>
      <c r="C100" s="204">
        <v>2133430</v>
      </c>
      <c r="D100" s="204">
        <v>382224</v>
      </c>
      <c r="E100" s="204">
        <v>388421</v>
      </c>
      <c r="F100" s="132">
        <f t="shared" si="12"/>
        <v>-0.01595433820519488</v>
      </c>
      <c r="G100" s="215">
        <f t="shared" si="13"/>
        <v>0.17915938184051036</v>
      </c>
      <c r="H100" s="123"/>
    </row>
    <row r="101" spans="1:8" ht="15.75">
      <c r="A101" s="130"/>
      <c r="B101" s="131">
        <f>DATE(2013,9,1)</f>
        <v>41518</v>
      </c>
      <c r="C101" s="204">
        <v>1897728</v>
      </c>
      <c r="D101" s="204">
        <v>379540.5</v>
      </c>
      <c r="E101" s="204">
        <v>395319</v>
      </c>
      <c r="F101" s="132">
        <f t="shared" si="12"/>
        <v>-0.03991333581234396</v>
      </c>
      <c r="G101" s="215">
        <f t="shared" si="13"/>
        <v>0.19999731257588022</v>
      </c>
      <c r="H101" s="123"/>
    </row>
    <row r="102" spans="1:8" ht="15.75">
      <c r="A102" s="130"/>
      <c r="B102" s="131">
        <f>DATE(2013,10,1)</f>
        <v>41548</v>
      </c>
      <c r="C102" s="204">
        <v>2123769</v>
      </c>
      <c r="D102" s="204">
        <v>521112.5</v>
      </c>
      <c r="E102" s="204">
        <v>388675.5</v>
      </c>
      <c r="F102" s="132">
        <f t="shared" si="12"/>
        <v>0.3407392542107748</v>
      </c>
      <c r="G102" s="215">
        <f t="shared" si="13"/>
        <v>0.24537155406261227</v>
      </c>
      <c r="H102" s="123"/>
    </row>
    <row r="103" spans="1:8" ht="15.75">
      <c r="A103" s="130"/>
      <c r="B103" s="131">
        <f>DATE(2013,11,1)</f>
        <v>41579</v>
      </c>
      <c r="C103" s="204">
        <v>2032272</v>
      </c>
      <c r="D103" s="204">
        <v>377449</v>
      </c>
      <c r="E103" s="204">
        <v>375484.5</v>
      </c>
      <c r="F103" s="132">
        <f t="shared" si="12"/>
        <v>0.005231907042767411</v>
      </c>
      <c r="G103" s="215">
        <f t="shared" si="13"/>
        <v>0.18572759945519104</v>
      </c>
      <c r="H103" s="123"/>
    </row>
    <row r="104" spans="1:8" ht="15.75">
      <c r="A104" s="130"/>
      <c r="B104" s="131">
        <f>DATE(2013,12,1)</f>
        <v>41609</v>
      </c>
      <c r="C104" s="204">
        <v>1771363.01</v>
      </c>
      <c r="D104" s="204">
        <v>343968.01</v>
      </c>
      <c r="E104" s="204">
        <v>467552.75</v>
      </c>
      <c r="F104" s="132">
        <f t="shared" si="12"/>
        <v>-0.2643225603955917</v>
      </c>
      <c r="G104" s="215">
        <f t="shared" si="13"/>
        <v>0.19418267631093866</v>
      </c>
      <c r="H104" s="123"/>
    </row>
    <row r="105" spans="1:8" ht="15.75">
      <c r="A105" s="130"/>
      <c r="B105" s="131">
        <f>DATE(2014,1,1)</f>
        <v>41640</v>
      </c>
      <c r="C105" s="204">
        <v>1747639</v>
      </c>
      <c r="D105" s="204">
        <v>484574.5</v>
      </c>
      <c r="E105" s="204">
        <v>425287</v>
      </c>
      <c r="F105" s="132">
        <f t="shared" si="12"/>
        <v>0.1394058600427476</v>
      </c>
      <c r="G105" s="215">
        <f t="shared" si="13"/>
        <v>0.27727379624739434</v>
      </c>
      <c r="H105" s="123"/>
    </row>
    <row r="106" spans="1:8" ht="15.75">
      <c r="A106" s="130"/>
      <c r="B106" s="131">
        <f>DATE(2014,2,1)</f>
        <v>41671</v>
      </c>
      <c r="C106" s="204">
        <v>2012029</v>
      </c>
      <c r="D106" s="204">
        <v>360678.5</v>
      </c>
      <c r="E106" s="204">
        <v>336229</v>
      </c>
      <c r="F106" s="132">
        <f t="shared" si="12"/>
        <v>0.07271680907952616</v>
      </c>
      <c r="G106" s="215">
        <f t="shared" si="13"/>
        <v>0.1792610842090248</v>
      </c>
      <c r="H106" s="123"/>
    </row>
    <row r="107" spans="1:8" ht="15.75">
      <c r="A107" s="130"/>
      <c r="B107" s="131">
        <f>DATE(2014,3,1)</f>
        <v>41699</v>
      </c>
      <c r="C107" s="204">
        <v>2521462</v>
      </c>
      <c r="D107" s="204">
        <v>538343</v>
      </c>
      <c r="E107" s="204">
        <v>462127</v>
      </c>
      <c r="F107" s="132">
        <f t="shared" si="12"/>
        <v>0.1649243606194834</v>
      </c>
      <c r="G107" s="215">
        <f t="shared" si="13"/>
        <v>0.21350430821483726</v>
      </c>
      <c r="H107" s="123"/>
    </row>
    <row r="108" spans="1:8" ht="15.75">
      <c r="A108" s="130"/>
      <c r="B108" s="131">
        <f>DATE(2014,4,1)</f>
        <v>41730</v>
      </c>
      <c r="C108" s="204">
        <v>2266123</v>
      </c>
      <c r="D108" s="204">
        <v>396153</v>
      </c>
      <c r="E108" s="204">
        <v>434337.5</v>
      </c>
      <c r="F108" s="132">
        <f t="shared" si="12"/>
        <v>-0.08791435231818574</v>
      </c>
      <c r="G108" s="215">
        <f t="shared" si="13"/>
        <v>0.17481531231976374</v>
      </c>
      <c r="H108" s="123"/>
    </row>
    <row r="109" spans="1:8" ht="15.75">
      <c r="A109" s="130"/>
      <c r="B109" s="131">
        <f>DATE(2014,5,1)</f>
        <v>41760</v>
      </c>
      <c r="C109" s="204">
        <v>2366825</v>
      </c>
      <c r="D109" s="204">
        <v>399888</v>
      </c>
      <c r="E109" s="204">
        <v>327513</v>
      </c>
      <c r="F109" s="132">
        <f t="shared" si="12"/>
        <v>0.2209835945443387</v>
      </c>
      <c r="G109" s="215">
        <f t="shared" si="13"/>
        <v>0.1689554572053278</v>
      </c>
      <c r="H109" s="123"/>
    </row>
    <row r="110" spans="1:8" ht="15.75">
      <c r="A110" s="130"/>
      <c r="B110" s="131">
        <f>DATE(2014,6,1)</f>
        <v>41791</v>
      </c>
      <c r="C110" s="204">
        <v>2115398</v>
      </c>
      <c r="D110" s="204">
        <v>302647</v>
      </c>
      <c r="E110" s="204">
        <v>374390.55</v>
      </c>
      <c r="F110" s="132">
        <f t="shared" si="12"/>
        <v>-0.1916275664543349</v>
      </c>
      <c r="G110" s="215">
        <f t="shared" si="13"/>
        <v>0.14306858567513064</v>
      </c>
      <c r="H110" s="123"/>
    </row>
    <row r="111" spans="1:8" ht="15.75" customHeight="1" thickBot="1">
      <c r="A111" s="130"/>
      <c r="B111" s="131"/>
      <c r="C111" s="204"/>
      <c r="D111" s="204"/>
      <c r="E111" s="204"/>
      <c r="F111" s="132"/>
      <c r="G111" s="215"/>
      <c r="H111" s="123"/>
    </row>
    <row r="112" spans="1:8" ht="17.25" thickBot="1" thickTop="1">
      <c r="A112" s="141" t="s">
        <v>14</v>
      </c>
      <c r="B112" s="142"/>
      <c r="C112" s="207">
        <f>SUM(C99:C111)</f>
        <v>25093098.009999998</v>
      </c>
      <c r="D112" s="263">
        <f>SUM(D99:D111)</f>
        <v>4895520.01</v>
      </c>
      <c r="E112" s="207">
        <f>SUM(E99:E111)</f>
        <v>4707844.8</v>
      </c>
      <c r="F112" s="271">
        <f>(+D112-E112)/E112</f>
        <v>0.03986435789047251</v>
      </c>
      <c r="G112" s="269">
        <f>D112/C112</f>
        <v>0.19509428481286198</v>
      </c>
      <c r="H112" s="123"/>
    </row>
    <row r="113" spans="1:8" ht="15.75" customHeight="1" thickTop="1">
      <c r="A113" s="130"/>
      <c r="B113" s="139"/>
      <c r="C113" s="205"/>
      <c r="D113" s="205"/>
      <c r="E113" s="205"/>
      <c r="F113" s="140"/>
      <c r="G113" s="216"/>
      <c r="H113" s="123"/>
    </row>
    <row r="114" spans="1:8" ht="15.75">
      <c r="A114" s="130" t="s">
        <v>76</v>
      </c>
      <c r="B114" s="131">
        <f>DATE(2013,7,1)</f>
        <v>41456</v>
      </c>
      <c r="C114" s="204">
        <v>11761476.5</v>
      </c>
      <c r="D114" s="204">
        <v>2052769.15</v>
      </c>
      <c r="E114" s="204">
        <v>2343873.36</v>
      </c>
      <c r="F114" s="132">
        <f aca="true" t="shared" si="14" ref="F114:F125">(+D114-E114)/E114</f>
        <v>-0.12419792594937808</v>
      </c>
      <c r="G114" s="215">
        <f aca="true" t="shared" si="15" ref="G114:G125">D114/C114</f>
        <v>0.17453328670086615</v>
      </c>
      <c r="H114" s="123"/>
    </row>
    <row r="115" spans="1:8" ht="15.75">
      <c r="A115" s="130"/>
      <c r="B115" s="131">
        <f>DATE(2013,8,1)</f>
        <v>41487</v>
      </c>
      <c r="C115" s="204">
        <v>13148338</v>
      </c>
      <c r="D115" s="204">
        <v>2822221.23</v>
      </c>
      <c r="E115" s="204">
        <v>2630512.84</v>
      </c>
      <c r="F115" s="132">
        <f t="shared" si="14"/>
        <v>0.07287871288246597</v>
      </c>
      <c r="G115" s="215">
        <f t="shared" si="15"/>
        <v>0.21464471251043288</v>
      </c>
      <c r="H115" s="123"/>
    </row>
    <row r="116" spans="1:8" ht="15.75">
      <c r="A116" s="130"/>
      <c r="B116" s="131">
        <f>DATE(2013,9,1)</f>
        <v>41518</v>
      </c>
      <c r="C116" s="204">
        <v>11862482</v>
      </c>
      <c r="D116" s="204">
        <v>2714506.57</v>
      </c>
      <c r="E116" s="204">
        <v>2271073.81</v>
      </c>
      <c r="F116" s="132">
        <f t="shared" si="14"/>
        <v>0.19525246517637387</v>
      </c>
      <c r="G116" s="215">
        <f t="shared" si="15"/>
        <v>0.22883124880610986</v>
      </c>
      <c r="H116" s="123"/>
    </row>
    <row r="117" spans="1:8" ht="15.75">
      <c r="A117" s="130"/>
      <c r="B117" s="131">
        <f>DATE(2013,10,1)</f>
        <v>41548</v>
      </c>
      <c r="C117" s="204">
        <v>12203419</v>
      </c>
      <c r="D117" s="204">
        <v>3336766</v>
      </c>
      <c r="E117" s="204">
        <v>3090660.71</v>
      </c>
      <c r="F117" s="132">
        <f t="shared" si="14"/>
        <v>0.0796286985509969</v>
      </c>
      <c r="G117" s="215">
        <f t="shared" si="15"/>
        <v>0.2734287825403684</v>
      </c>
      <c r="H117" s="123"/>
    </row>
    <row r="118" spans="1:8" ht="15.75">
      <c r="A118" s="130"/>
      <c r="B118" s="131">
        <f>DATE(2013,11,1)</f>
        <v>41579</v>
      </c>
      <c r="C118" s="204">
        <v>11919603.5</v>
      </c>
      <c r="D118" s="204">
        <v>1994777.59</v>
      </c>
      <c r="E118" s="204">
        <v>2603924.62</v>
      </c>
      <c r="F118" s="132">
        <f t="shared" si="14"/>
        <v>-0.23393420274969404</v>
      </c>
      <c r="G118" s="215">
        <f t="shared" si="15"/>
        <v>0.16735267997798753</v>
      </c>
      <c r="H118" s="123"/>
    </row>
    <row r="119" spans="1:8" ht="15.75">
      <c r="A119" s="130"/>
      <c r="B119" s="131">
        <f>DATE(2013,12,1)</f>
        <v>41609</v>
      </c>
      <c r="C119" s="204">
        <v>12536686.5</v>
      </c>
      <c r="D119" s="204">
        <v>2866220.63</v>
      </c>
      <c r="E119" s="204">
        <v>2755150.07</v>
      </c>
      <c r="F119" s="132">
        <f t="shared" si="14"/>
        <v>0.04031379677260196</v>
      </c>
      <c r="G119" s="215">
        <f t="shared" si="15"/>
        <v>0.22862664947392597</v>
      </c>
      <c r="H119" s="123"/>
    </row>
    <row r="120" spans="1:8" ht="15.75">
      <c r="A120" s="130"/>
      <c r="B120" s="131">
        <f>DATE(2014,1,1)</f>
        <v>41640</v>
      </c>
      <c r="C120" s="204">
        <v>10495986</v>
      </c>
      <c r="D120" s="204">
        <v>2274577.62</v>
      </c>
      <c r="E120" s="204">
        <v>2383892.47</v>
      </c>
      <c r="F120" s="132">
        <f t="shared" si="14"/>
        <v>-0.045855612774346355</v>
      </c>
      <c r="G120" s="215">
        <f t="shared" si="15"/>
        <v>0.21670928486375649</v>
      </c>
      <c r="H120" s="123"/>
    </row>
    <row r="121" spans="1:8" ht="15.75">
      <c r="A121" s="130"/>
      <c r="B121" s="131">
        <f>DATE(2014,2,1)</f>
        <v>41671</v>
      </c>
      <c r="C121" s="204">
        <v>11524016</v>
      </c>
      <c r="D121" s="204">
        <v>2249391.68</v>
      </c>
      <c r="E121" s="204">
        <v>2525479.91</v>
      </c>
      <c r="F121" s="132">
        <f t="shared" si="14"/>
        <v>-0.10932109533193632</v>
      </c>
      <c r="G121" s="215">
        <f t="shared" si="15"/>
        <v>0.19519164846699277</v>
      </c>
      <c r="H121" s="123"/>
    </row>
    <row r="122" spans="1:8" ht="15.75">
      <c r="A122" s="130"/>
      <c r="B122" s="131">
        <f>DATE(2014,3,1)</f>
        <v>41699</v>
      </c>
      <c r="C122" s="204">
        <v>16097351</v>
      </c>
      <c r="D122" s="204">
        <v>3146989.62</v>
      </c>
      <c r="E122" s="204">
        <v>2809705.55</v>
      </c>
      <c r="F122" s="132">
        <f t="shared" si="14"/>
        <v>0.1200424969797993</v>
      </c>
      <c r="G122" s="215">
        <f t="shared" si="15"/>
        <v>0.1954973597829854</v>
      </c>
      <c r="H122" s="123"/>
    </row>
    <row r="123" spans="1:8" ht="15.75">
      <c r="A123" s="130"/>
      <c r="B123" s="131">
        <f>DATE(2014,4,1)</f>
        <v>41730</v>
      </c>
      <c r="C123" s="204">
        <v>12011970</v>
      </c>
      <c r="D123" s="204">
        <v>1928970.71</v>
      </c>
      <c r="E123" s="204">
        <v>2808367.58</v>
      </c>
      <c r="F123" s="132">
        <f t="shared" si="14"/>
        <v>-0.3131345327665405</v>
      </c>
      <c r="G123" s="215">
        <f t="shared" si="15"/>
        <v>0.16058737326183797</v>
      </c>
      <c r="H123" s="123"/>
    </row>
    <row r="124" spans="1:8" ht="15.75">
      <c r="A124" s="130"/>
      <c r="B124" s="131">
        <f>DATE(2014,5,1)</f>
        <v>41760</v>
      </c>
      <c r="C124" s="204">
        <v>14004361</v>
      </c>
      <c r="D124" s="204">
        <v>2648808.17</v>
      </c>
      <c r="E124" s="204">
        <v>2856528.5</v>
      </c>
      <c r="F124" s="132">
        <f t="shared" si="14"/>
        <v>-0.07271775163454525</v>
      </c>
      <c r="G124" s="215">
        <f t="shared" si="15"/>
        <v>0.1891416659424875</v>
      </c>
      <c r="H124" s="123"/>
    </row>
    <row r="125" spans="1:8" ht="15.75">
      <c r="A125" s="130"/>
      <c r="B125" s="131">
        <f>DATE(2014,6,1)</f>
        <v>41791</v>
      </c>
      <c r="C125" s="204">
        <v>11748366</v>
      </c>
      <c r="D125" s="204">
        <v>2392570.45</v>
      </c>
      <c r="E125" s="204">
        <v>2254074.15</v>
      </c>
      <c r="F125" s="132">
        <f t="shared" si="14"/>
        <v>0.06144265484788967</v>
      </c>
      <c r="G125" s="215">
        <f t="shared" si="15"/>
        <v>0.20365133755621848</v>
      </c>
      <c r="H125" s="123"/>
    </row>
    <row r="126" spans="1:8" ht="15.75" customHeight="1" thickBot="1">
      <c r="A126" s="130"/>
      <c r="B126" s="131"/>
      <c r="C126" s="204"/>
      <c r="D126" s="204"/>
      <c r="E126" s="204"/>
      <c r="F126" s="132"/>
      <c r="G126" s="215"/>
      <c r="H126" s="123"/>
    </row>
    <row r="127" spans="1:8" ht="17.25" thickBot="1" thickTop="1">
      <c r="A127" s="141" t="s">
        <v>14</v>
      </c>
      <c r="B127" s="142"/>
      <c r="C127" s="206">
        <f>SUM(C114:C126)</f>
        <v>149314055.5</v>
      </c>
      <c r="D127" s="206">
        <f>SUM(D114:D126)</f>
        <v>30428569.419999998</v>
      </c>
      <c r="E127" s="206">
        <f>SUM(E114:E126)</f>
        <v>31333243.57</v>
      </c>
      <c r="F127" s="143">
        <f>(+D127-E127)/E127</f>
        <v>-0.028872661969352644</v>
      </c>
      <c r="G127" s="217">
        <f>D127/C127</f>
        <v>0.20378904931692782</v>
      </c>
      <c r="H127" s="123"/>
    </row>
    <row r="128" spans="1:8" ht="15.75" customHeight="1" thickTop="1">
      <c r="A128" s="138"/>
      <c r="B128" s="139"/>
      <c r="C128" s="205"/>
      <c r="D128" s="205"/>
      <c r="E128" s="205"/>
      <c r="F128" s="140"/>
      <c r="G128" s="216"/>
      <c r="H128" s="123"/>
    </row>
    <row r="129" spans="1:8" ht="15.75">
      <c r="A129" s="130" t="s">
        <v>18</v>
      </c>
      <c r="B129" s="131">
        <f>DATE(2013,7,1)</f>
        <v>41456</v>
      </c>
      <c r="C129" s="204">
        <v>9323163</v>
      </c>
      <c r="D129" s="204">
        <v>2139547</v>
      </c>
      <c r="E129" s="204">
        <v>2399258.75</v>
      </c>
      <c r="F129" s="132">
        <f aca="true" t="shared" si="16" ref="F129:F140">(+D129-E129)/E129</f>
        <v>-0.10824666159912931</v>
      </c>
      <c r="G129" s="215">
        <f aca="true" t="shared" si="17" ref="G129:G140">D129/C129</f>
        <v>0.22948724590570818</v>
      </c>
      <c r="H129" s="123"/>
    </row>
    <row r="130" spans="1:8" ht="15.75">
      <c r="A130" s="130"/>
      <c r="B130" s="131">
        <f>DATE(2013,8,1)</f>
        <v>41487</v>
      </c>
      <c r="C130" s="283">
        <v>9745422</v>
      </c>
      <c r="D130" s="204">
        <v>1918123.5</v>
      </c>
      <c r="E130" s="204">
        <v>1805947.5</v>
      </c>
      <c r="F130" s="132">
        <f t="shared" si="16"/>
        <v>0.062114762472331005</v>
      </c>
      <c r="G130" s="215">
        <f t="shared" si="17"/>
        <v>0.19682303136795923</v>
      </c>
      <c r="H130" s="123"/>
    </row>
    <row r="131" spans="1:8" ht="15.75">
      <c r="A131" s="130"/>
      <c r="B131" s="131">
        <f>DATE(2013,9,1)</f>
        <v>41518</v>
      </c>
      <c r="C131" s="283">
        <v>8921316</v>
      </c>
      <c r="D131" s="204">
        <v>1434018</v>
      </c>
      <c r="E131" s="204">
        <v>1884063.5</v>
      </c>
      <c r="F131" s="132">
        <f t="shared" si="16"/>
        <v>-0.23886960285574238</v>
      </c>
      <c r="G131" s="215">
        <f t="shared" si="17"/>
        <v>0.16074063512602849</v>
      </c>
      <c r="H131" s="123"/>
    </row>
    <row r="132" spans="1:8" ht="15.75">
      <c r="A132" s="130"/>
      <c r="B132" s="131">
        <f>DATE(2013,10,1)</f>
        <v>41548</v>
      </c>
      <c r="C132" s="283">
        <v>9146060</v>
      </c>
      <c r="D132" s="204">
        <v>1987279.5</v>
      </c>
      <c r="E132" s="204">
        <v>1745693</v>
      </c>
      <c r="F132" s="132">
        <f t="shared" si="16"/>
        <v>0.13839002619590043</v>
      </c>
      <c r="G132" s="215">
        <f t="shared" si="17"/>
        <v>0.21728257850921598</v>
      </c>
      <c r="H132" s="123"/>
    </row>
    <row r="133" spans="1:8" ht="15.75">
      <c r="A133" s="130"/>
      <c r="B133" s="131">
        <f>DATE(2013,11,1)</f>
        <v>41579</v>
      </c>
      <c r="C133" s="283">
        <v>9267584</v>
      </c>
      <c r="D133" s="204">
        <v>1974557.5</v>
      </c>
      <c r="E133" s="204">
        <v>2339476.5</v>
      </c>
      <c r="F133" s="132">
        <f t="shared" si="16"/>
        <v>-0.15598318683688422</v>
      </c>
      <c r="G133" s="215">
        <f t="shared" si="17"/>
        <v>0.2130606531324669</v>
      </c>
      <c r="H133" s="123"/>
    </row>
    <row r="134" spans="1:8" ht="15.75">
      <c r="A134" s="130"/>
      <c r="B134" s="131">
        <f>DATE(2013,12,1)</f>
        <v>41609</v>
      </c>
      <c r="C134" s="283">
        <v>8715756</v>
      </c>
      <c r="D134" s="204">
        <v>1818724</v>
      </c>
      <c r="E134" s="204">
        <v>2530368.5</v>
      </c>
      <c r="F134" s="132">
        <f t="shared" si="16"/>
        <v>-0.2812414476389506</v>
      </c>
      <c r="G134" s="215">
        <f t="shared" si="17"/>
        <v>0.20867082557152816</v>
      </c>
      <c r="H134" s="123"/>
    </row>
    <row r="135" spans="1:8" ht="15.75">
      <c r="A135" s="130"/>
      <c r="B135" s="131">
        <f>DATE(2014,1,1)</f>
        <v>41640</v>
      </c>
      <c r="C135" s="283">
        <v>8751053</v>
      </c>
      <c r="D135" s="204">
        <v>1835740</v>
      </c>
      <c r="E135" s="204">
        <v>1842686</v>
      </c>
      <c r="F135" s="132">
        <f t="shared" si="16"/>
        <v>-0.003769497353320099</v>
      </c>
      <c r="G135" s="215">
        <f t="shared" si="17"/>
        <v>0.20977361238698933</v>
      </c>
      <c r="H135" s="123"/>
    </row>
    <row r="136" spans="1:8" ht="15.75">
      <c r="A136" s="130"/>
      <c r="B136" s="131">
        <f>DATE(2014,2,1)</f>
        <v>41671</v>
      </c>
      <c r="C136" s="283">
        <v>8416247</v>
      </c>
      <c r="D136" s="204">
        <v>1916892</v>
      </c>
      <c r="E136" s="204">
        <v>2070046</v>
      </c>
      <c r="F136" s="132">
        <f t="shared" si="16"/>
        <v>-0.07398579548473802</v>
      </c>
      <c r="G136" s="215">
        <f t="shared" si="17"/>
        <v>0.22776090102868893</v>
      </c>
      <c r="H136" s="123"/>
    </row>
    <row r="137" spans="1:8" ht="15.75">
      <c r="A137" s="130"/>
      <c r="B137" s="131">
        <f>DATE(2014,3,1)</f>
        <v>41699</v>
      </c>
      <c r="C137" s="283">
        <v>9238368</v>
      </c>
      <c r="D137" s="204">
        <v>1810089</v>
      </c>
      <c r="E137" s="204">
        <v>2456198.5</v>
      </c>
      <c r="F137" s="132">
        <f t="shared" si="16"/>
        <v>-0.2630526400858888</v>
      </c>
      <c r="G137" s="215">
        <f t="shared" si="17"/>
        <v>0.19593168403770017</v>
      </c>
      <c r="H137" s="123"/>
    </row>
    <row r="138" spans="1:8" ht="15.75">
      <c r="A138" s="130"/>
      <c r="B138" s="131">
        <f>DATE(2014,4,1)</f>
        <v>41730</v>
      </c>
      <c r="C138" s="283">
        <v>9443268</v>
      </c>
      <c r="D138" s="204">
        <v>1709284</v>
      </c>
      <c r="E138" s="204">
        <v>2158471.8</v>
      </c>
      <c r="F138" s="132">
        <f t="shared" si="16"/>
        <v>-0.20810454878307877</v>
      </c>
      <c r="G138" s="215">
        <f t="shared" si="17"/>
        <v>0.18100555866888454</v>
      </c>
      <c r="H138" s="123"/>
    </row>
    <row r="139" spans="1:8" ht="15.75">
      <c r="A139" s="130"/>
      <c r="B139" s="131">
        <f>DATE(2014,5,1)</f>
        <v>41760</v>
      </c>
      <c r="C139" s="283">
        <v>9999760</v>
      </c>
      <c r="D139" s="204">
        <v>2320913.5</v>
      </c>
      <c r="E139" s="204">
        <v>2122935.5</v>
      </c>
      <c r="F139" s="132">
        <f t="shared" si="16"/>
        <v>0.09325671929269637</v>
      </c>
      <c r="G139" s="215">
        <f t="shared" si="17"/>
        <v>0.23209692032608784</v>
      </c>
      <c r="H139" s="123"/>
    </row>
    <row r="140" spans="1:8" ht="15.75">
      <c r="A140" s="130"/>
      <c r="B140" s="131">
        <f>DATE(2014,6,1)</f>
        <v>41791</v>
      </c>
      <c r="C140" s="283">
        <v>7947122.5</v>
      </c>
      <c r="D140" s="204">
        <v>1838435.5</v>
      </c>
      <c r="E140" s="204">
        <v>1936535</v>
      </c>
      <c r="F140" s="132">
        <f t="shared" si="16"/>
        <v>-0.0506572305690318</v>
      </c>
      <c r="G140" s="215">
        <f t="shared" si="17"/>
        <v>0.23133347950783445</v>
      </c>
      <c r="H140" s="123"/>
    </row>
    <row r="141" spans="1:8" ht="15.75" customHeight="1" thickBot="1">
      <c r="A141" s="130"/>
      <c r="B141" s="131"/>
      <c r="C141" s="204"/>
      <c r="D141" s="204"/>
      <c r="E141" s="204"/>
      <c r="F141" s="132"/>
      <c r="G141" s="215"/>
      <c r="H141" s="123"/>
    </row>
    <row r="142" spans="1:8" ht="17.25" thickBot="1" thickTop="1">
      <c r="A142" s="141" t="s">
        <v>14</v>
      </c>
      <c r="B142" s="142"/>
      <c r="C142" s="206">
        <f>SUM(C129:C141)</f>
        <v>108915119.5</v>
      </c>
      <c r="D142" s="206">
        <f>SUM(D129:D141)</f>
        <v>22703603.5</v>
      </c>
      <c r="E142" s="206">
        <f>SUM(E129:E141)</f>
        <v>25291680.55</v>
      </c>
      <c r="F142" s="143">
        <f>(+D142-E142)/E142</f>
        <v>-0.10232918468519882</v>
      </c>
      <c r="G142" s="217">
        <f>D142/C142</f>
        <v>0.20845226635407585</v>
      </c>
      <c r="H142" s="123"/>
    </row>
    <row r="143" spans="1:8" ht="15.75" customHeight="1" thickTop="1">
      <c r="A143" s="138"/>
      <c r="B143" s="139"/>
      <c r="C143" s="205"/>
      <c r="D143" s="205"/>
      <c r="E143" s="205"/>
      <c r="F143" s="140"/>
      <c r="G143" s="216"/>
      <c r="H143" s="123"/>
    </row>
    <row r="144" spans="1:8" ht="15.75">
      <c r="A144" s="130" t="s">
        <v>59</v>
      </c>
      <c r="B144" s="131">
        <f>DATE(2013,7,1)</f>
        <v>41456</v>
      </c>
      <c r="C144" s="204">
        <v>8037939.5</v>
      </c>
      <c r="D144" s="204">
        <v>1531315.5</v>
      </c>
      <c r="E144" s="204">
        <v>1839215.5</v>
      </c>
      <c r="F144" s="132">
        <f aca="true" t="shared" si="18" ref="F144:F155">(+D144-E144)/E144</f>
        <v>-0.16740833252003368</v>
      </c>
      <c r="G144" s="215">
        <f aca="true" t="shared" si="19" ref="G144:G155">D144/C144</f>
        <v>0.19051095122076994</v>
      </c>
      <c r="H144" s="123"/>
    </row>
    <row r="145" spans="1:8" ht="15.75">
      <c r="A145" s="130"/>
      <c r="B145" s="131">
        <f>DATE(2013,8,1)</f>
        <v>41487</v>
      </c>
      <c r="C145" s="204">
        <v>8904226.25</v>
      </c>
      <c r="D145" s="204">
        <v>1844528.75</v>
      </c>
      <c r="E145" s="204">
        <v>1527182.5</v>
      </c>
      <c r="F145" s="132">
        <f t="shared" si="18"/>
        <v>0.20779851131086166</v>
      </c>
      <c r="G145" s="215">
        <f t="shared" si="19"/>
        <v>0.20715205321742583</v>
      </c>
      <c r="H145" s="123"/>
    </row>
    <row r="146" spans="1:8" ht="15.75">
      <c r="A146" s="130"/>
      <c r="B146" s="131">
        <f>DATE(2013,9,1)</f>
        <v>41518</v>
      </c>
      <c r="C146" s="204">
        <v>8460894</v>
      </c>
      <c r="D146" s="204">
        <v>1674575</v>
      </c>
      <c r="E146" s="204">
        <v>2214825</v>
      </c>
      <c r="F146" s="132">
        <f t="shared" si="18"/>
        <v>-0.24392446355806893</v>
      </c>
      <c r="G146" s="215">
        <f t="shared" si="19"/>
        <v>0.1979193924424535</v>
      </c>
      <c r="H146" s="123"/>
    </row>
    <row r="147" spans="1:8" ht="15.75">
      <c r="A147" s="130"/>
      <c r="B147" s="131">
        <f>DATE(2013,10,1)</f>
        <v>41548</v>
      </c>
      <c r="C147" s="204">
        <v>8838633</v>
      </c>
      <c r="D147" s="204">
        <v>1767609</v>
      </c>
      <c r="E147" s="204">
        <v>1299004</v>
      </c>
      <c r="F147" s="132">
        <f t="shared" si="18"/>
        <v>0.36074176830864263</v>
      </c>
      <c r="G147" s="215">
        <f t="shared" si="19"/>
        <v>0.19998669477508568</v>
      </c>
      <c r="H147" s="123"/>
    </row>
    <row r="148" spans="1:8" ht="15.75">
      <c r="A148" s="130"/>
      <c r="B148" s="131">
        <f>DATE(2013,11,1)</f>
        <v>41579</v>
      </c>
      <c r="C148" s="204">
        <v>11104967</v>
      </c>
      <c r="D148" s="204">
        <v>2709472</v>
      </c>
      <c r="E148" s="204">
        <v>1717053.5</v>
      </c>
      <c r="F148" s="132">
        <f t="shared" si="18"/>
        <v>0.5779776227123966</v>
      </c>
      <c r="G148" s="215">
        <f t="shared" si="19"/>
        <v>0.24398739771131242</v>
      </c>
      <c r="H148" s="123"/>
    </row>
    <row r="149" spans="1:8" ht="15.75">
      <c r="A149" s="130"/>
      <c r="B149" s="131">
        <f>DATE(2013,12,1)</f>
        <v>41609</v>
      </c>
      <c r="C149" s="204">
        <v>8887161</v>
      </c>
      <c r="D149" s="204">
        <v>2234533.5</v>
      </c>
      <c r="E149" s="204">
        <v>1794574</v>
      </c>
      <c r="F149" s="132">
        <f t="shared" si="18"/>
        <v>0.2451609685641272</v>
      </c>
      <c r="G149" s="215">
        <f t="shared" si="19"/>
        <v>0.25143389435613916</v>
      </c>
      <c r="H149" s="123"/>
    </row>
    <row r="150" spans="1:8" ht="15.75">
      <c r="A150" s="130"/>
      <c r="B150" s="131">
        <f>DATE(2014,1,1)</f>
        <v>41640</v>
      </c>
      <c r="C150" s="204">
        <v>7972676</v>
      </c>
      <c r="D150" s="204">
        <v>1661882.5</v>
      </c>
      <c r="E150" s="204">
        <v>1786852.5</v>
      </c>
      <c r="F150" s="132">
        <f t="shared" si="18"/>
        <v>-0.06993862112289627</v>
      </c>
      <c r="G150" s="215">
        <f t="shared" si="19"/>
        <v>0.2084472641306382</v>
      </c>
      <c r="H150" s="123"/>
    </row>
    <row r="151" spans="1:8" ht="15.75">
      <c r="A151" s="130"/>
      <c r="B151" s="131">
        <f>DATE(2014,2,1)</f>
        <v>41671</v>
      </c>
      <c r="C151" s="204">
        <v>9655391</v>
      </c>
      <c r="D151" s="204">
        <v>1632886</v>
      </c>
      <c r="E151" s="204">
        <v>1760968.5</v>
      </c>
      <c r="F151" s="132">
        <f t="shared" si="18"/>
        <v>-0.07273412329635652</v>
      </c>
      <c r="G151" s="215">
        <f t="shared" si="19"/>
        <v>0.1691165070373639</v>
      </c>
      <c r="H151" s="123"/>
    </row>
    <row r="152" spans="1:8" ht="15.75">
      <c r="A152" s="130"/>
      <c r="B152" s="131">
        <f>DATE(2014,3,1)</f>
        <v>41699</v>
      </c>
      <c r="C152" s="204">
        <v>10116362</v>
      </c>
      <c r="D152" s="204">
        <v>2170786</v>
      </c>
      <c r="E152" s="204">
        <v>2116420</v>
      </c>
      <c r="F152" s="132">
        <f t="shared" si="18"/>
        <v>0.025687717938783418</v>
      </c>
      <c r="G152" s="215">
        <f t="shared" si="19"/>
        <v>0.21458168460163843</v>
      </c>
      <c r="H152" s="123"/>
    </row>
    <row r="153" spans="1:8" ht="15.75">
      <c r="A153" s="130"/>
      <c r="B153" s="131">
        <f>DATE(2014,4,1)</f>
        <v>41730</v>
      </c>
      <c r="C153" s="204">
        <v>9071726</v>
      </c>
      <c r="D153" s="204">
        <v>1918908</v>
      </c>
      <c r="E153" s="204">
        <v>1914937.25</v>
      </c>
      <c r="F153" s="132">
        <f t="shared" si="18"/>
        <v>0.002073566640369025</v>
      </c>
      <c r="G153" s="215">
        <f t="shared" si="19"/>
        <v>0.21152622995888545</v>
      </c>
      <c r="H153" s="123"/>
    </row>
    <row r="154" spans="1:8" ht="15.75">
      <c r="A154" s="130"/>
      <c r="B154" s="131">
        <f>DATE(2014,5,1)</f>
        <v>41760</v>
      </c>
      <c r="C154" s="204">
        <v>9563274.01</v>
      </c>
      <c r="D154" s="204">
        <v>2118259.51</v>
      </c>
      <c r="E154" s="204">
        <v>1989086.5</v>
      </c>
      <c r="F154" s="132">
        <f t="shared" si="18"/>
        <v>0.0649408710983659</v>
      </c>
      <c r="G154" s="215">
        <f t="shared" si="19"/>
        <v>0.22149940572496468</v>
      </c>
      <c r="H154" s="123"/>
    </row>
    <row r="155" spans="1:8" ht="15.75">
      <c r="A155" s="130"/>
      <c r="B155" s="131">
        <f>DATE(2014,6,1)</f>
        <v>41791</v>
      </c>
      <c r="C155" s="204">
        <v>8567298</v>
      </c>
      <c r="D155" s="204">
        <v>1556967.5</v>
      </c>
      <c r="E155" s="204">
        <v>1730255.5</v>
      </c>
      <c r="F155" s="132">
        <f t="shared" si="18"/>
        <v>-0.10015168280060373</v>
      </c>
      <c r="G155" s="215">
        <f t="shared" si="19"/>
        <v>0.1817337858447319</v>
      </c>
      <c r="H155" s="123"/>
    </row>
    <row r="156" spans="1:8" ht="15.75" thickBot="1">
      <c r="A156" s="133"/>
      <c r="B156" s="131"/>
      <c r="C156" s="204"/>
      <c r="D156" s="204"/>
      <c r="E156" s="204"/>
      <c r="F156" s="132"/>
      <c r="G156" s="215"/>
      <c r="H156" s="123"/>
    </row>
    <row r="157" spans="1:8" ht="17.25" thickBot="1" thickTop="1">
      <c r="A157" s="141" t="s">
        <v>14</v>
      </c>
      <c r="B157" s="142"/>
      <c r="C157" s="207">
        <f>SUM(C144:C156)</f>
        <v>109180547.76</v>
      </c>
      <c r="D157" s="207">
        <f>SUM(D144:D156)</f>
        <v>22821723.259999998</v>
      </c>
      <c r="E157" s="207">
        <f>SUM(E144:E156)</f>
        <v>21690374.75</v>
      </c>
      <c r="F157" s="143">
        <f>(+D157-E157)/E157</f>
        <v>0.052159011683281215</v>
      </c>
      <c r="G157" s="269">
        <f>D157/C157</f>
        <v>0.20902737463972582</v>
      </c>
      <c r="H157" s="123"/>
    </row>
    <row r="158" spans="1:8" ht="15.75" customHeight="1" thickTop="1">
      <c r="A158" s="138"/>
      <c r="B158" s="139"/>
      <c r="C158" s="205"/>
      <c r="D158" s="205"/>
      <c r="E158" s="205"/>
      <c r="F158" s="140"/>
      <c r="G158" s="219"/>
      <c r="H158" s="123"/>
    </row>
    <row r="159" spans="1:8" ht="15.75">
      <c r="A159" s="130" t="s">
        <v>60</v>
      </c>
      <c r="B159" s="131">
        <f>DATE(2013,7,1)</f>
        <v>41456</v>
      </c>
      <c r="C159" s="204">
        <v>841584</v>
      </c>
      <c r="D159" s="204">
        <v>203697.5</v>
      </c>
      <c r="E159" s="204">
        <v>195676.5</v>
      </c>
      <c r="F159" s="132">
        <f aca="true" t="shared" si="20" ref="F159:F170">(+D159-E159)/E159</f>
        <v>0.04099112565893196</v>
      </c>
      <c r="G159" s="215">
        <f aca="true" t="shared" si="21" ref="G159:G170">D159/C159</f>
        <v>0.24204060438411376</v>
      </c>
      <c r="H159" s="123"/>
    </row>
    <row r="160" spans="1:8" ht="15.75">
      <c r="A160" s="130"/>
      <c r="B160" s="131">
        <f>DATE(2013,8,1)</f>
        <v>41487</v>
      </c>
      <c r="C160" s="204">
        <v>910451</v>
      </c>
      <c r="D160" s="204">
        <v>190431</v>
      </c>
      <c r="E160" s="204">
        <v>206422</v>
      </c>
      <c r="F160" s="132">
        <f t="shared" si="20"/>
        <v>-0.07746751799711271</v>
      </c>
      <c r="G160" s="215">
        <f t="shared" si="21"/>
        <v>0.20916117396762704</v>
      </c>
      <c r="H160" s="123"/>
    </row>
    <row r="161" spans="1:8" ht="15.75">
      <c r="A161" s="130"/>
      <c r="B161" s="131">
        <f>DATE(2013,9,1)</f>
        <v>41518</v>
      </c>
      <c r="C161" s="204">
        <v>872632</v>
      </c>
      <c r="D161" s="204">
        <v>231071.5</v>
      </c>
      <c r="E161" s="204">
        <v>188948</v>
      </c>
      <c r="F161" s="132">
        <f t="shared" si="20"/>
        <v>0.22293699853928065</v>
      </c>
      <c r="G161" s="215">
        <f t="shared" si="21"/>
        <v>0.26479833423482063</v>
      </c>
      <c r="H161" s="123"/>
    </row>
    <row r="162" spans="1:8" ht="15.75">
      <c r="A162" s="130"/>
      <c r="B162" s="131">
        <f>DATE(2013,10,1)</f>
        <v>41548</v>
      </c>
      <c r="C162" s="204">
        <v>845674</v>
      </c>
      <c r="D162" s="204">
        <v>208717.5</v>
      </c>
      <c r="E162" s="204">
        <v>149868</v>
      </c>
      <c r="F162" s="132">
        <f t="shared" si="20"/>
        <v>0.3926755544879494</v>
      </c>
      <c r="G162" s="215">
        <f t="shared" si="21"/>
        <v>0.24680609785803986</v>
      </c>
      <c r="H162" s="123"/>
    </row>
    <row r="163" spans="1:8" ht="15.75">
      <c r="A163" s="130"/>
      <c r="B163" s="131">
        <f>DATE(2013,11,1)</f>
        <v>41579</v>
      </c>
      <c r="C163" s="204">
        <v>945547</v>
      </c>
      <c r="D163" s="204">
        <v>270575</v>
      </c>
      <c r="E163" s="204">
        <v>222391</v>
      </c>
      <c r="F163" s="132">
        <f t="shared" si="20"/>
        <v>0.21666344411419527</v>
      </c>
      <c r="G163" s="215">
        <f t="shared" si="21"/>
        <v>0.2861571132899792</v>
      </c>
      <c r="H163" s="123"/>
    </row>
    <row r="164" spans="1:8" ht="15.75">
      <c r="A164" s="130"/>
      <c r="B164" s="131">
        <f>DATE(2013,12,1)</f>
        <v>41609</v>
      </c>
      <c r="C164" s="204">
        <v>888121.75</v>
      </c>
      <c r="D164" s="204">
        <v>271825.75</v>
      </c>
      <c r="E164" s="204">
        <v>218156</v>
      </c>
      <c r="F164" s="132">
        <f t="shared" si="20"/>
        <v>0.24601546599680962</v>
      </c>
      <c r="G164" s="215">
        <f t="shared" si="21"/>
        <v>0.3060681150979581</v>
      </c>
      <c r="H164" s="123"/>
    </row>
    <row r="165" spans="1:8" ht="15.75">
      <c r="A165" s="130"/>
      <c r="B165" s="131">
        <f>DATE(2014,1,1)</f>
        <v>41640</v>
      </c>
      <c r="C165" s="204">
        <v>803376</v>
      </c>
      <c r="D165" s="204">
        <v>242023</v>
      </c>
      <c r="E165" s="204">
        <v>234128.5</v>
      </c>
      <c r="F165" s="132">
        <f t="shared" si="20"/>
        <v>0.033718663041876575</v>
      </c>
      <c r="G165" s="215">
        <f t="shared" si="21"/>
        <v>0.3012574435880584</v>
      </c>
      <c r="H165" s="123"/>
    </row>
    <row r="166" spans="1:8" ht="15.75">
      <c r="A166" s="130"/>
      <c r="B166" s="131">
        <f>DATE(2014,2,1)</f>
        <v>41671</v>
      </c>
      <c r="C166" s="204">
        <v>793063</v>
      </c>
      <c r="D166" s="204">
        <v>197255</v>
      </c>
      <c r="E166" s="204">
        <v>220884</v>
      </c>
      <c r="F166" s="132">
        <f t="shared" si="20"/>
        <v>-0.10697470165335651</v>
      </c>
      <c r="G166" s="215">
        <f t="shared" si="21"/>
        <v>0.24872551108802202</v>
      </c>
      <c r="H166" s="123"/>
    </row>
    <row r="167" spans="1:8" ht="15.75">
      <c r="A167" s="130"/>
      <c r="B167" s="131">
        <f>DATE(2014,3,1)</f>
        <v>41699</v>
      </c>
      <c r="C167" s="204">
        <v>1017300.5</v>
      </c>
      <c r="D167" s="204">
        <v>240152</v>
      </c>
      <c r="E167" s="204">
        <v>241387.5</v>
      </c>
      <c r="F167" s="132">
        <f t="shared" si="20"/>
        <v>-0.005118326342499094</v>
      </c>
      <c r="G167" s="215">
        <f t="shared" si="21"/>
        <v>0.23606790717197132</v>
      </c>
      <c r="H167" s="123"/>
    </row>
    <row r="168" spans="1:8" ht="15.75">
      <c r="A168" s="130"/>
      <c r="B168" s="131">
        <f>DATE(2014,4,1)</f>
        <v>41730</v>
      </c>
      <c r="C168" s="204">
        <v>946546</v>
      </c>
      <c r="D168" s="204">
        <v>189622</v>
      </c>
      <c r="E168" s="204">
        <v>226993.5</v>
      </c>
      <c r="F168" s="132">
        <f t="shared" si="20"/>
        <v>-0.16463687286199824</v>
      </c>
      <c r="G168" s="215">
        <f t="shared" si="21"/>
        <v>0.20033046465781906</v>
      </c>
      <c r="H168" s="123"/>
    </row>
    <row r="169" spans="1:8" ht="15.75">
      <c r="A169" s="130"/>
      <c r="B169" s="131">
        <f>DATE(2014,5,1)</f>
        <v>41760</v>
      </c>
      <c r="C169" s="204">
        <v>1041621.5</v>
      </c>
      <c r="D169" s="204">
        <v>272972.5</v>
      </c>
      <c r="E169" s="204">
        <v>229816</v>
      </c>
      <c r="F169" s="132">
        <f t="shared" si="20"/>
        <v>0.18778718627075575</v>
      </c>
      <c r="G169" s="215">
        <f t="shared" si="21"/>
        <v>0.2620649631368016</v>
      </c>
      <c r="H169" s="123"/>
    </row>
    <row r="170" spans="1:8" ht="15.75">
      <c r="A170" s="130"/>
      <c r="B170" s="131">
        <f>DATE(2014,6,1)</f>
        <v>41791</v>
      </c>
      <c r="C170" s="204">
        <v>845576</v>
      </c>
      <c r="D170" s="204">
        <v>218752.5</v>
      </c>
      <c r="E170" s="204">
        <v>167866</v>
      </c>
      <c r="F170" s="132">
        <f t="shared" si="20"/>
        <v>0.3031376216744308</v>
      </c>
      <c r="G170" s="215">
        <f t="shared" si="21"/>
        <v>0.2587023520062064</v>
      </c>
      <c r="H170" s="123"/>
    </row>
    <row r="171" spans="1:8" ht="15.75" thickBot="1">
      <c r="A171" s="133"/>
      <c r="B171" s="134"/>
      <c r="C171" s="204"/>
      <c r="D171" s="204"/>
      <c r="E171" s="204"/>
      <c r="F171" s="132"/>
      <c r="G171" s="215"/>
      <c r="H171" s="123"/>
    </row>
    <row r="172" spans="1:8" ht="17.25" thickBot="1" thickTop="1">
      <c r="A172" s="144" t="s">
        <v>14</v>
      </c>
      <c r="B172" s="145"/>
      <c r="C172" s="207">
        <f>SUM(C159:C171)</f>
        <v>10751492.75</v>
      </c>
      <c r="D172" s="207">
        <f>SUM(D159:D171)</f>
        <v>2737095.25</v>
      </c>
      <c r="E172" s="207">
        <f>SUM(E159:E171)</f>
        <v>2502537</v>
      </c>
      <c r="F172" s="143">
        <f>(+D172-E172)/E172</f>
        <v>0.09372818463822913</v>
      </c>
      <c r="G172" s="217">
        <f>D172/C172</f>
        <v>0.2545781607860918</v>
      </c>
      <c r="H172" s="123"/>
    </row>
    <row r="173" spans="1:8" ht="15.75" customHeight="1" thickTop="1">
      <c r="A173" s="130"/>
      <c r="B173" s="134"/>
      <c r="C173" s="204"/>
      <c r="D173" s="204"/>
      <c r="E173" s="204"/>
      <c r="F173" s="132"/>
      <c r="G173" s="218"/>
      <c r="H173" s="123"/>
    </row>
    <row r="174" spans="1:8" ht="15.75">
      <c r="A174" s="130" t="s">
        <v>40</v>
      </c>
      <c r="B174" s="131">
        <f>DATE(2013,7,1)</f>
        <v>41456</v>
      </c>
      <c r="C174" s="204">
        <v>11050716</v>
      </c>
      <c r="D174" s="204">
        <v>2227589.5</v>
      </c>
      <c r="E174" s="204">
        <v>1762870</v>
      </c>
      <c r="F174" s="132">
        <f aca="true" t="shared" si="22" ref="F174:F185">(+D174-E174)/E174</f>
        <v>0.26361529778145865</v>
      </c>
      <c r="G174" s="215">
        <f aca="true" t="shared" si="23" ref="G174:G185">D174/C174</f>
        <v>0.20157874838155285</v>
      </c>
      <c r="H174" s="123"/>
    </row>
    <row r="175" spans="1:8" ht="15.75">
      <c r="A175" s="130"/>
      <c r="B175" s="131">
        <f>DATE(2013,8,1)</f>
        <v>41487</v>
      </c>
      <c r="C175" s="204">
        <v>10780984</v>
      </c>
      <c r="D175" s="204">
        <v>2324049.9</v>
      </c>
      <c r="E175" s="204">
        <v>1712525</v>
      </c>
      <c r="F175" s="132">
        <f t="shared" si="22"/>
        <v>0.3570896191296477</v>
      </c>
      <c r="G175" s="215">
        <f t="shared" si="23"/>
        <v>0.21556936732305695</v>
      </c>
      <c r="H175" s="123"/>
    </row>
    <row r="176" spans="1:8" ht="15.75">
      <c r="A176" s="130"/>
      <c r="B176" s="131">
        <f>DATE(2013,9,1)</f>
        <v>41518</v>
      </c>
      <c r="C176" s="204">
        <v>10066559</v>
      </c>
      <c r="D176" s="204">
        <v>1889804.5</v>
      </c>
      <c r="E176" s="204">
        <v>2354862.5</v>
      </c>
      <c r="F176" s="132">
        <f t="shared" si="22"/>
        <v>-0.19748838838785704</v>
      </c>
      <c r="G176" s="215">
        <f t="shared" si="23"/>
        <v>0.18773093169175287</v>
      </c>
      <c r="H176" s="123"/>
    </row>
    <row r="177" spans="1:8" ht="15.75">
      <c r="A177" s="130"/>
      <c r="B177" s="131">
        <f>DATE(2013,10,1)</f>
        <v>41548</v>
      </c>
      <c r="C177" s="204">
        <v>9828046.5</v>
      </c>
      <c r="D177" s="204">
        <v>1892475</v>
      </c>
      <c r="E177" s="204">
        <v>2068802</v>
      </c>
      <c r="F177" s="132">
        <f t="shared" si="22"/>
        <v>-0.0852314527924857</v>
      </c>
      <c r="G177" s="215">
        <f t="shared" si="23"/>
        <v>0.19255861274160638</v>
      </c>
      <c r="H177" s="123"/>
    </row>
    <row r="178" spans="1:8" ht="15.75">
      <c r="A178" s="130"/>
      <c r="B178" s="131">
        <f>DATE(2013,11,1)</f>
        <v>41579</v>
      </c>
      <c r="C178" s="204">
        <v>10586290</v>
      </c>
      <c r="D178" s="204">
        <v>2298940</v>
      </c>
      <c r="E178" s="204">
        <v>2585750.5</v>
      </c>
      <c r="F178" s="132">
        <f t="shared" si="22"/>
        <v>-0.1109196343576072</v>
      </c>
      <c r="G178" s="215">
        <f t="shared" si="23"/>
        <v>0.21716200859791296</v>
      </c>
      <c r="H178" s="123"/>
    </row>
    <row r="179" spans="1:8" ht="15.75">
      <c r="A179" s="130"/>
      <c r="B179" s="131">
        <f>DATE(2013,12,1)</f>
        <v>41609</v>
      </c>
      <c r="C179" s="204">
        <v>10559048</v>
      </c>
      <c r="D179" s="204">
        <v>2113873.5</v>
      </c>
      <c r="E179" s="204">
        <v>2683213</v>
      </c>
      <c r="F179" s="132">
        <f t="shared" si="22"/>
        <v>-0.21218572658972656</v>
      </c>
      <c r="G179" s="215">
        <f t="shared" si="23"/>
        <v>0.20019546269701588</v>
      </c>
      <c r="H179" s="123"/>
    </row>
    <row r="180" spans="1:8" ht="15.75">
      <c r="A180" s="130"/>
      <c r="B180" s="131">
        <f>DATE(2014,1,1)</f>
        <v>41640</v>
      </c>
      <c r="C180" s="204">
        <v>9795574.5</v>
      </c>
      <c r="D180" s="204">
        <v>1789378.5</v>
      </c>
      <c r="E180" s="204">
        <v>1953011.7</v>
      </c>
      <c r="F180" s="132">
        <f t="shared" si="22"/>
        <v>-0.08378505873774333</v>
      </c>
      <c r="G180" s="215">
        <f t="shared" si="23"/>
        <v>0.18267213423776216</v>
      </c>
      <c r="H180" s="123"/>
    </row>
    <row r="181" spans="1:8" ht="15.75">
      <c r="A181" s="130"/>
      <c r="B181" s="131">
        <f>DATE(2014,2,1)</f>
        <v>41671</v>
      </c>
      <c r="C181" s="204">
        <v>10447921.25</v>
      </c>
      <c r="D181" s="204">
        <v>2017621.75</v>
      </c>
      <c r="E181" s="204">
        <v>2222927.9</v>
      </c>
      <c r="F181" s="132">
        <f t="shared" si="22"/>
        <v>-0.09235843861602525</v>
      </c>
      <c r="G181" s="215">
        <f t="shared" si="23"/>
        <v>0.19311226623190714</v>
      </c>
      <c r="H181" s="123"/>
    </row>
    <row r="182" spans="1:8" ht="15.75">
      <c r="A182" s="130"/>
      <c r="B182" s="131">
        <f>DATE(2014,3,1)</f>
        <v>41699</v>
      </c>
      <c r="C182" s="204">
        <v>12180706</v>
      </c>
      <c r="D182" s="204">
        <v>2371964</v>
      </c>
      <c r="E182" s="204">
        <v>2406858</v>
      </c>
      <c r="F182" s="132">
        <f t="shared" si="22"/>
        <v>-0.014497739376398608</v>
      </c>
      <c r="G182" s="215">
        <f t="shared" si="23"/>
        <v>0.19473124135825953</v>
      </c>
      <c r="H182" s="123"/>
    </row>
    <row r="183" spans="1:8" ht="15.75">
      <c r="A183" s="130"/>
      <c r="B183" s="131">
        <f>DATE(2014,4,1)</f>
        <v>41730</v>
      </c>
      <c r="C183" s="204">
        <v>11972874</v>
      </c>
      <c r="D183" s="204">
        <v>2582090.2</v>
      </c>
      <c r="E183" s="204">
        <v>1819262.75</v>
      </c>
      <c r="F183" s="132">
        <f t="shared" si="22"/>
        <v>0.4193058149516886</v>
      </c>
      <c r="G183" s="215">
        <f t="shared" si="23"/>
        <v>0.21566168657583804</v>
      </c>
      <c r="H183" s="123"/>
    </row>
    <row r="184" spans="1:8" ht="15.75">
      <c r="A184" s="130"/>
      <c r="B184" s="131">
        <f>DATE(2014,5,1)</f>
        <v>41760</v>
      </c>
      <c r="C184" s="204">
        <v>12072045</v>
      </c>
      <c r="D184" s="204">
        <v>2185935.5</v>
      </c>
      <c r="E184" s="204">
        <v>2157034.4</v>
      </c>
      <c r="F184" s="132">
        <f t="shared" si="22"/>
        <v>0.013398534580626112</v>
      </c>
      <c r="G184" s="215">
        <f t="shared" si="23"/>
        <v>0.1810741676327416</v>
      </c>
      <c r="H184" s="123"/>
    </row>
    <row r="185" spans="1:8" ht="15.75">
      <c r="A185" s="130"/>
      <c r="B185" s="131">
        <f>DATE(2014,6,1)</f>
        <v>41791</v>
      </c>
      <c r="C185" s="204">
        <v>11659728</v>
      </c>
      <c r="D185" s="204">
        <v>2868280.7</v>
      </c>
      <c r="E185" s="204">
        <v>2067739.8</v>
      </c>
      <c r="F185" s="132">
        <f t="shared" si="22"/>
        <v>0.38715746536387224</v>
      </c>
      <c r="G185" s="215">
        <f t="shared" si="23"/>
        <v>0.2459989375395378</v>
      </c>
      <c r="H185" s="123"/>
    </row>
    <row r="186" spans="1:8" ht="15.75" thickBot="1">
      <c r="A186" s="133"/>
      <c r="B186" s="134"/>
      <c r="C186" s="204"/>
      <c r="D186" s="204"/>
      <c r="E186" s="204"/>
      <c r="F186" s="132"/>
      <c r="G186" s="215"/>
      <c r="H186" s="123"/>
    </row>
    <row r="187" spans="1:8" ht="17.25" thickBot="1" thickTop="1">
      <c r="A187" s="141" t="s">
        <v>14</v>
      </c>
      <c r="B187" s="142"/>
      <c r="C187" s="206">
        <f>SUM(C174:C186)</f>
        <v>131000492.25</v>
      </c>
      <c r="D187" s="207">
        <f>SUM(D174:D186)</f>
        <v>26562003.049999997</v>
      </c>
      <c r="E187" s="206">
        <f>SUM(E174:E186)</f>
        <v>25794857.549999997</v>
      </c>
      <c r="F187" s="143">
        <f>(+D187-E187)/E187</f>
        <v>0.029740249525045354</v>
      </c>
      <c r="G187" s="217">
        <f>D187/C187</f>
        <v>0.20276262015343685</v>
      </c>
      <c r="H187" s="123"/>
    </row>
    <row r="188" spans="1:8" ht="15.75" customHeight="1" thickTop="1">
      <c r="A188" s="130"/>
      <c r="B188" s="134"/>
      <c r="C188" s="204"/>
      <c r="D188" s="204"/>
      <c r="E188" s="204"/>
      <c r="F188" s="132"/>
      <c r="G188" s="218"/>
      <c r="H188" s="123"/>
    </row>
    <row r="189" spans="1:8" ht="15.75">
      <c r="A189" s="130" t="s">
        <v>73</v>
      </c>
      <c r="B189" s="131">
        <f>DATE(2013,7,1)</f>
        <v>41456</v>
      </c>
      <c r="C189" s="204">
        <v>877260</v>
      </c>
      <c r="D189" s="204">
        <v>163354</v>
      </c>
      <c r="E189" s="204">
        <v>276915.5</v>
      </c>
      <c r="F189" s="132">
        <f aca="true" t="shared" si="24" ref="F189:F200">(+D189-E189)/E189</f>
        <v>-0.4100944150833016</v>
      </c>
      <c r="G189" s="215">
        <f aca="true" t="shared" si="25" ref="G189:G200">D189/C189</f>
        <v>0.18620933360691244</v>
      </c>
      <c r="H189" s="123"/>
    </row>
    <row r="190" spans="1:8" ht="15.75">
      <c r="A190" s="130"/>
      <c r="B190" s="131">
        <f>DATE(2013,8,1)</f>
        <v>41487</v>
      </c>
      <c r="C190" s="204">
        <v>867462</v>
      </c>
      <c r="D190" s="204">
        <v>222733.5</v>
      </c>
      <c r="E190" s="204">
        <v>214993</v>
      </c>
      <c r="F190" s="132">
        <f t="shared" si="24"/>
        <v>0.03600349778830009</v>
      </c>
      <c r="G190" s="215">
        <f t="shared" si="25"/>
        <v>0.25676456144476645</v>
      </c>
      <c r="H190" s="123"/>
    </row>
    <row r="191" spans="1:8" ht="15.75">
      <c r="A191" s="130"/>
      <c r="B191" s="131">
        <f>DATE(2013,9,1)</f>
        <v>41518</v>
      </c>
      <c r="C191" s="204">
        <v>838938</v>
      </c>
      <c r="D191" s="204">
        <v>198230</v>
      </c>
      <c r="E191" s="204">
        <v>235157</v>
      </c>
      <c r="F191" s="132">
        <f t="shared" si="24"/>
        <v>-0.15703125996674563</v>
      </c>
      <c r="G191" s="215">
        <f t="shared" si="25"/>
        <v>0.23628682930085418</v>
      </c>
      <c r="H191" s="123"/>
    </row>
    <row r="192" spans="1:8" ht="15.75">
      <c r="A192" s="130"/>
      <c r="B192" s="131">
        <f>DATE(2013,10,1)</f>
        <v>41548</v>
      </c>
      <c r="C192" s="204">
        <v>904965</v>
      </c>
      <c r="D192" s="204">
        <v>206944</v>
      </c>
      <c r="E192" s="204">
        <v>273446</v>
      </c>
      <c r="F192" s="132">
        <f t="shared" si="24"/>
        <v>-0.2431997542476394</v>
      </c>
      <c r="G192" s="215">
        <f t="shared" si="25"/>
        <v>0.22867624714767976</v>
      </c>
      <c r="H192" s="123"/>
    </row>
    <row r="193" spans="1:8" ht="15.75">
      <c r="A193" s="130"/>
      <c r="B193" s="131">
        <f>DATE(2013,11,1)</f>
        <v>41579</v>
      </c>
      <c r="C193" s="204">
        <v>880917</v>
      </c>
      <c r="D193" s="204">
        <v>185684.5</v>
      </c>
      <c r="E193" s="204">
        <v>276452</v>
      </c>
      <c r="F193" s="132">
        <f t="shared" si="24"/>
        <v>-0.3283300536802049</v>
      </c>
      <c r="G193" s="215">
        <f t="shared" si="25"/>
        <v>0.21078546560005085</v>
      </c>
      <c r="H193" s="123"/>
    </row>
    <row r="194" spans="1:8" ht="15.75">
      <c r="A194" s="130"/>
      <c r="B194" s="131">
        <f>DATE(2013,12,1)</f>
        <v>41609</v>
      </c>
      <c r="C194" s="204">
        <v>937564</v>
      </c>
      <c r="D194" s="204">
        <v>155536</v>
      </c>
      <c r="E194" s="204">
        <v>277788</v>
      </c>
      <c r="F194" s="132">
        <f t="shared" si="24"/>
        <v>-0.44009100465102885</v>
      </c>
      <c r="G194" s="215">
        <f t="shared" si="25"/>
        <v>0.16589374165390308</v>
      </c>
      <c r="H194" s="123"/>
    </row>
    <row r="195" spans="1:8" ht="15.75">
      <c r="A195" s="130"/>
      <c r="B195" s="131">
        <f>DATE(2014,1,1)</f>
        <v>41640</v>
      </c>
      <c r="C195" s="204">
        <v>882076</v>
      </c>
      <c r="D195" s="204">
        <v>195324</v>
      </c>
      <c r="E195" s="204">
        <v>251234.5</v>
      </c>
      <c r="F195" s="132">
        <f t="shared" si="24"/>
        <v>-0.2225430822598011</v>
      </c>
      <c r="G195" s="215">
        <f t="shared" si="25"/>
        <v>0.22143670159940868</v>
      </c>
      <c r="H195" s="123"/>
    </row>
    <row r="196" spans="1:8" ht="15.75">
      <c r="A196" s="130"/>
      <c r="B196" s="131">
        <f>DATE(2014,2,1)</f>
        <v>41671</v>
      </c>
      <c r="C196" s="204">
        <v>980927</v>
      </c>
      <c r="D196" s="204">
        <v>225331</v>
      </c>
      <c r="E196" s="204">
        <v>210640</v>
      </c>
      <c r="F196" s="132">
        <f t="shared" si="24"/>
        <v>0.06974458792252183</v>
      </c>
      <c r="G196" s="215">
        <f t="shared" si="25"/>
        <v>0.22971230275035756</v>
      </c>
      <c r="H196" s="123"/>
    </row>
    <row r="197" spans="1:8" ht="15.75">
      <c r="A197" s="130"/>
      <c r="B197" s="131">
        <f>DATE(2014,3,1)</f>
        <v>41699</v>
      </c>
      <c r="C197" s="204">
        <v>1260474</v>
      </c>
      <c r="D197" s="204">
        <v>279957.5</v>
      </c>
      <c r="E197" s="204">
        <v>263756.5</v>
      </c>
      <c r="F197" s="132">
        <f t="shared" si="24"/>
        <v>0.06142407864829871</v>
      </c>
      <c r="G197" s="215">
        <f t="shared" si="25"/>
        <v>0.22210493830098835</v>
      </c>
      <c r="H197" s="123"/>
    </row>
    <row r="198" spans="1:8" ht="15.75">
      <c r="A198" s="130"/>
      <c r="B198" s="131">
        <f>DATE(2014,4,1)</f>
        <v>41730</v>
      </c>
      <c r="C198" s="204">
        <v>984065</v>
      </c>
      <c r="D198" s="204">
        <v>239097</v>
      </c>
      <c r="E198" s="204">
        <v>241259.5</v>
      </c>
      <c r="F198" s="132">
        <f t="shared" si="24"/>
        <v>-0.008963377607928393</v>
      </c>
      <c r="G198" s="215">
        <f t="shared" si="25"/>
        <v>0.24296870633545548</v>
      </c>
      <c r="H198" s="123"/>
    </row>
    <row r="199" spans="1:8" ht="15.75">
      <c r="A199" s="130"/>
      <c r="B199" s="131">
        <f>DATE(2014,5,1)</f>
        <v>41760</v>
      </c>
      <c r="C199" s="204">
        <v>932918</v>
      </c>
      <c r="D199" s="204">
        <v>232902.5</v>
      </c>
      <c r="E199" s="204">
        <v>209460</v>
      </c>
      <c r="F199" s="132">
        <f t="shared" si="24"/>
        <v>0.11191874343550082</v>
      </c>
      <c r="G199" s="215">
        <f t="shared" si="25"/>
        <v>0.24964948687880392</v>
      </c>
      <c r="H199" s="123"/>
    </row>
    <row r="200" spans="1:8" ht="15.75">
      <c r="A200" s="130"/>
      <c r="B200" s="131">
        <f>DATE(2014,6,1)</f>
        <v>41791</v>
      </c>
      <c r="C200" s="204">
        <v>884553</v>
      </c>
      <c r="D200" s="204">
        <v>213576.5</v>
      </c>
      <c r="E200" s="204">
        <v>239811.5</v>
      </c>
      <c r="F200" s="132">
        <f t="shared" si="24"/>
        <v>-0.10939842334500222</v>
      </c>
      <c r="G200" s="215">
        <f t="shared" si="25"/>
        <v>0.24145133191566814</v>
      </c>
      <c r="H200" s="123"/>
    </row>
    <row r="201" spans="1:8" ht="15.75" thickBot="1">
      <c r="A201" s="133"/>
      <c r="B201" s="134"/>
      <c r="C201" s="204"/>
      <c r="D201" s="204"/>
      <c r="E201" s="204"/>
      <c r="F201" s="132"/>
      <c r="G201" s="215"/>
      <c r="H201" s="123"/>
    </row>
    <row r="202" spans="1:8" ht="17.25" thickBot="1" thickTop="1">
      <c r="A202" s="135" t="s">
        <v>14</v>
      </c>
      <c r="B202" s="136"/>
      <c r="C202" s="201">
        <f>SUM(C189:C201)</f>
        <v>11232119</v>
      </c>
      <c r="D202" s="207">
        <f>SUM(D189:D201)</f>
        <v>2518670.5</v>
      </c>
      <c r="E202" s="207">
        <f>SUM(E189:E201)</f>
        <v>2970913.5</v>
      </c>
      <c r="F202" s="143">
        <f>(+D202-E202)/E202</f>
        <v>-0.15222355009662852</v>
      </c>
      <c r="G202" s="217">
        <f>D202/C202</f>
        <v>0.22423823145036123</v>
      </c>
      <c r="H202" s="123"/>
    </row>
    <row r="203" spans="1:8" ht="16.5" thickBot="1" thickTop="1">
      <c r="A203" s="146"/>
      <c r="B203" s="139"/>
      <c r="C203" s="205"/>
      <c r="D203" s="205"/>
      <c r="E203" s="205"/>
      <c r="F203" s="140"/>
      <c r="G203" s="216"/>
      <c r="H203" s="123"/>
    </row>
    <row r="204" spans="1:8" ht="17.25" thickBot="1" thickTop="1">
      <c r="A204" s="147" t="s">
        <v>41</v>
      </c>
      <c r="B204" s="121"/>
      <c r="C204" s="201">
        <f>C202+C187+C142+C112+C82+C52+C22+C67+C172+C37+C127+C157+C97</f>
        <v>977700849.38</v>
      </c>
      <c r="D204" s="201">
        <f>D202+D187+D142+D112+D82+D52+D22+D67+D172+D37+D127+D157+D97</f>
        <v>206921529.18999997</v>
      </c>
      <c r="E204" s="201">
        <f>E202+E187+E142+E112+E82+E52+E22+E67+E172+E37+E127+E157+E97</f>
        <v>209903948.30999997</v>
      </c>
      <c r="F204" s="137">
        <f>(+D204-E204)/E204</f>
        <v>-0.014208494618668972</v>
      </c>
      <c r="G204" s="212">
        <f>D204/C204</f>
        <v>0.21164094244289278</v>
      </c>
      <c r="H204" s="123"/>
    </row>
    <row r="205" spans="1:8" ht="17.25" thickBot="1" thickTop="1">
      <c r="A205" s="147"/>
      <c r="B205" s="121"/>
      <c r="C205" s="201"/>
      <c r="D205" s="201"/>
      <c r="E205" s="201"/>
      <c r="F205" s="137"/>
      <c r="G205" s="212"/>
      <c r="H205" s="123"/>
    </row>
    <row r="206" spans="1:8" ht="17.25" thickBot="1" thickTop="1">
      <c r="A206" s="267" t="s">
        <v>42</v>
      </c>
      <c r="B206" s="268"/>
      <c r="C206" s="206">
        <f>+C20+C35+C50+C65+C80+C95+C110+C125+C140+C155+C170+C185+C200</f>
        <v>78887636.5</v>
      </c>
      <c r="D206" s="206">
        <f>+D20+D35+D50+D65+D80+D95+D110+D125+D140+D155+D170+D185+D200</f>
        <v>16973583.06</v>
      </c>
      <c r="E206" s="206">
        <f>+E20+E35+E50+E65+E80+E95+E110+E125+E140+E155+E170+E185+E200</f>
        <v>15550176.24</v>
      </c>
      <c r="F206" s="143">
        <f>(+D206-E206)/E206</f>
        <v>0.09153637862563534</v>
      </c>
      <c r="G206" s="217">
        <f>D206/C206</f>
        <v>0.21516151089150704</v>
      </c>
      <c r="H206" s="123"/>
    </row>
    <row r="207" spans="1:8" ht="16.5" thickTop="1">
      <c r="A207" s="256"/>
      <c r="B207" s="258"/>
      <c r="C207" s="259"/>
      <c r="D207" s="259"/>
      <c r="E207" s="259"/>
      <c r="F207" s="260"/>
      <c r="G207" s="257"/>
      <c r="H207" s="257"/>
    </row>
    <row r="208" spans="1:18" s="3" customFormat="1" ht="15.75">
      <c r="A208" s="276" t="s">
        <v>63</v>
      </c>
      <c r="B208" s="261"/>
      <c r="C208" s="262"/>
      <c r="D208" s="261"/>
      <c r="E208" s="261"/>
      <c r="F208" s="261"/>
      <c r="G208" s="261"/>
      <c r="H208" s="261"/>
      <c r="I208" s="261"/>
      <c r="J208" s="261"/>
      <c r="K208" s="262"/>
      <c r="L208" s="262"/>
      <c r="M208" s="261"/>
      <c r="R208" s="2"/>
    </row>
    <row r="209" spans="1:18" s="3" customFormat="1" ht="15.75">
      <c r="A209" s="256" t="s">
        <v>69</v>
      </c>
      <c r="B209" s="258"/>
      <c r="C209" s="259"/>
      <c r="D209" s="259"/>
      <c r="E209" s="259"/>
      <c r="F209" s="260"/>
      <c r="G209" s="257"/>
      <c r="H209" s="257"/>
      <c r="I209" s="261"/>
      <c r="J209" s="261"/>
      <c r="K209" s="262"/>
      <c r="L209" s="262"/>
      <c r="M209" s="261"/>
      <c r="R209" s="2"/>
    </row>
    <row r="210" spans="1:18" s="3" customFormat="1" ht="15.75">
      <c r="A210" s="256" t="s">
        <v>75</v>
      </c>
      <c r="B210" s="258"/>
      <c r="C210" s="259"/>
      <c r="D210" s="259"/>
      <c r="E210" s="259"/>
      <c r="F210" s="260"/>
      <c r="G210" s="257"/>
      <c r="H210" s="257"/>
      <c r="I210" s="261"/>
      <c r="J210" s="261"/>
      <c r="K210" s="262"/>
      <c r="L210" s="262"/>
      <c r="M210" s="261"/>
      <c r="R210" s="2"/>
    </row>
    <row r="211" spans="1:7" ht="18.75">
      <c r="A211" s="265" t="s">
        <v>43</v>
      </c>
      <c r="B211" s="117"/>
      <c r="C211" s="208"/>
      <c r="D211" s="208"/>
      <c r="E211" s="208"/>
      <c r="F211" s="148"/>
      <c r="G211" s="220"/>
    </row>
    <row r="212" ht="15.75">
      <c r="A212" s="72"/>
    </row>
  </sheetData>
  <sheetProtection/>
  <printOptions horizontalCentered="1"/>
  <pageMargins left="0.7" right="0.25" top="0.319444444444444" bottom="0.2" header="0.5" footer="0.5"/>
  <pageSetup horizontalDpi="600" verticalDpi="600" orientation="landscape" scale="65" r:id="rId1"/>
  <rowBreaks count="4" manualBreakCount="4">
    <brk id="52" max="7" man="1"/>
    <brk id="97" max="7" man="1"/>
    <brk id="142" max="7" man="1"/>
    <brk id="1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14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91" t="s">
        <v>83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92" t="s">
        <v>79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DATE(13,7,1)</f>
        <v>4931</v>
      </c>
      <c r="C10" s="226">
        <v>122703156.67</v>
      </c>
      <c r="D10" s="226">
        <v>11572743.44</v>
      </c>
      <c r="E10" s="226">
        <v>11541084.7</v>
      </c>
      <c r="F10" s="166">
        <f aca="true" t="shared" si="0" ref="F10:F21">(+D10-E10)/E10</f>
        <v>0.002743133840790565</v>
      </c>
      <c r="G10" s="241">
        <f aca="true" t="shared" si="1" ref="G10:G21">D10/C10</f>
        <v>0.09431496103334926</v>
      </c>
      <c r="H10" s="242">
        <f aca="true" t="shared" si="2" ref="H10:H21">1-G10</f>
        <v>0.9056850389666508</v>
      </c>
      <c r="I10" s="157"/>
    </row>
    <row r="11" spans="1:9" ht="15.75">
      <c r="A11" s="164"/>
      <c r="B11" s="165">
        <f>DATE(13,8,1)</f>
        <v>4962</v>
      </c>
      <c r="C11" s="226">
        <v>121048088.12</v>
      </c>
      <c r="D11" s="226">
        <v>11606101.87</v>
      </c>
      <c r="E11" s="226">
        <v>11710801.95</v>
      </c>
      <c r="F11" s="166">
        <f t="shared" si="0"/>
        <v>-0.00894047055419634</v>
      </c>
      <c r="G11" s="241">
        <f t="shared" si="1"/>
        <v>0.09588009236869886</v>
      </c>
      <c r="H11" s="242">
        <f t="shared" si="2"/>
        <v>0.9041199076313011</v>
      </c>
      <c r="I11" s="157"/>
    </row>
    <row r="12" spans="1:9" ht="15.75">
      <c r="A12" s="164"/>
      <c r="B12" s="165">
        <f>DATE(13,9,1)</f>
        <v>4993</v>
      </c>
      <c r="C12" s="226">
        <v>108380984.55</v>
      </c>
      <c r="D12" s="226">
        <v>10314286.07</v>
      </c>
      <c r="E12" s="226">
        <v>11515904.73</v>
      </c>
      <c r="F12" s="166">
        <f t="shared" si="0"/>
        <v>-0.10434426891963355</v>
      </c>
      <c r="G12" s="241">
        <f t="shared" si="1"/>
        <v>0.09516693461334681</v>
      </c>
      <c r="H12" s="242">
        <f t="shared" si="2"/>
        <v>0.9048330653866532</v>
      </c>
      <c r="I12" s="157"/>
    </row>
    <row r="13" spans="1:9" ht="15.75">
      <c r="A13" s="164"/>
      <c r="B13" s="165">
        <f>DATE(13,10,1)</f>
        <v>5023</v>
      </c>
      <c r="C13" s="226">
        <v>107935485.06</v>
      </c>
      <c r="D13" s="226">
        <v>10199198.41</v>
      </c>
      <c r="E13" s="226">
        <v>11062301.82</v>
      </c>
      <c r="F13" s="166">
        <f t="shared" si="0"/>
        <v>-0.07802204496351377</v>
      </c>
      <c r="G13" s="241">
        <f t="shared" si="1"/>
        <v>0.09449346898594463</v>
      </c>
      <c r="H13" s="242">
        <f t="shared" si="2"/>
        <v>0.9055065310140553</v>
      </c>
      <c r="I13" s="157"/>
    </row>
    <row r="14" spans="1:9" ht="15.75">
      <c r="A14" s="164"/>
      <c r="B14" s="165">
        <f>DATE(13,11,1)</f>
        <v>5054</v>
      </c>
      <c r="C14" s="226">
        <v>108584504.32</v>
      </c>
      <c r="D14" s="226">
        <v>10668215.68</v>
      </c>
      <c r="E14" s="226">
        <v>11211718.15</v>
      </c>
      <c r="F14" s="166">
        <f t="shared" si="0"/>
        <v>-0.04847628728519193</v>
      </c>
      <c r="G14" s="241">
        <f t="shared" si="1"/>
        <v>0.0982480488059385</v>
      </c>
      <c r="H14" s="242">
        <f t="shared" si="2"/>
        <v>0.9017519511940615</v>
      </c>
      <c r="I14" s="157"/>
    </row>
    <row r="15" spans="1:9" ht="15.75">
      <c r="A15" s="164"/>
      <c r="B15" s="165">
        <f>DATE(13,12,1)</f>
        <v>5084</v>
      </c>
      <c r="C15" s="226">
        <v>102198822.16</v>
      </c>
      <c r="D15" s="226">
        <v>10081925.41</v>
      </c>
      <c r="E15" s="226">
        <v>11736132.6</v>
      </c>
      <c r="F15" s="166">
        <f t="shared" si="0"/>
        <v>-0.14094994035769495</v>
      </c>
      <c r="G15" s="241">
        <f t="shared" si="1"/>
        <v>0.09865011354256101</v>
      </c>
      <c r="H15" s="242">
        <f t="shared" si="2"/>
        <v>0.901349886457439</v>
      </c>
      <c r="I15" s="157"/>
    </row>
    <row r="16" spans="1:9" ht="15.75">
      <c r="A16" s="164"/>
      <c r="B16" s="165">
        <f>DATE(14,1,1)</f>
        <v>5115</v>
      </c>
      <c r="C16" s="226">
        <v>107625525.88</v>
      </c>
      <c r="D16" s="226">
        <v>10226082.27</v>
      </c>
      <c r="E16" s="226">
        <v>11140090.55</v>
      </c>
      <c r="F16" s="166">
        <f t="shared" si="0"/>
        <v>-0.08204675499697811</v>
      </c>
      <c r="G16" s="241">
        <f t="shared" si="1"/>
        <v>0.09501539886924082</v>
      </c>
      <c r="H16" s="242">
        <f t="shared" si="2"/>
        <v>0.9049846011307592</v>
      </c>
      <c r="I16" s="157"/>
    </row>
    <row r="17" spans="1:9" ht="15.75">
      <c r="A17" s="164"/>
      <c r="B17" s="165">
        <f>DATE(14,2,1)</f>
        <v>5146</v>
      </c>
      <c r="C17" s="226">
        <v>110116443.07</v>
      </c>
      <c r="D17" s="226">
        <v>10852711.04</v>
      </c>
      <c r="E17" s="226">
        <v>11164553.52</v>
      </c>
      <c r="F17" s="166">
        <f t="shared" si="0"/>
        <v>-0.027931477908307835</v>
      </c>
      <c r="G17" s="241">
        <f t="shared" si="1"/>
        <v>0.09855667997831198</v>
      </c>
      <c r="H17" s="242">
        <f t="shared" si="2"/>
        <v>0.901443320021688</v>
      </c>
      <c r="I17" s="157"/>
    </row>
    <row r="18" spans="1:9" ht="15.75">
      <c r="A18" s="164"/>
      <c r="B18" s="165">
        <f>DATE(14,3,1)</f>
        <v>5174</v>
      </c>
      <c r="C18" s="226">
        <v>121286145.66</v>
      </c>
      <c r="D18" s="226">
        <v>11881774.76</v>
      </c>
      <c r="E18" s="226">
        <v>13176884.06</v>
      </c>
      <c r="F18" s="166">
        <f t="shared" si="0"/>
        <v>-0.09828646090402049</v>
      </c>
      <c r="G18" s="241">
        <f t="shared" si="1"/>
        <v>0.09796481449173954</v>
      </c>
      <c r="H18" s="242">
        <f t="shared" si="2"/>
        <v>0.9020351855082605</v>
      </c>
      <c r="I18" s="157"/>
    </row>
    <row r="19" spans="1:9" ht="15.75">
      <c r="A19" s="164"/>
      <c r="B19" s="165">
        <f>DATE(14,4,1)</f>
        <v>5205</v>
      </c>
      <c r="C19" s="226">
        <v>111847404.53</v>
      </c>
      <c r="D19" s="226">
        <v>10949171.86</v>
      </c>
      <c r="E19" s="226">
        <v>11633516.22</v>
      </c>
      <c r="F19" s="166">
        <f t="shared" si="0"/>
        <v>-0.05882523796403846</v>
      </c>
      <c r="G19" s="241">
        <f t="shared" si="1"/>
        <v>0.09789383943248485</v>
      </c>
      <c r="H19" s="242">
        <f t="shared" si="2"/>
        <v>0.9021061605675151</v>
      </c>
      <c r="I19" s="157"/>
    </row>
    <row r="20" spans="1:9" ht="15.75">
      <c r="A20" s="164"/>
      <c r="B20" s="165">
        <f>DATE(14,5,1)</f>
        <v>5235</v>
      </c>
      <c r="C20" s="226">
        <v>118886199.93</v>
      </c>
      <c r="D20" s="226">
        <v>11868532.38</v>
      </c>
      <c r="E20" s="226">
        <v>11985036.48</v>
      </c>
      <c r="F20" s="166">
        <f t="shared" si="0"/>
        <v>-0.009720796444334195</v>
      </c>
      <c r="G20" s="241">
        <f t="shared" si="1"/>
        <v>0.09983103494760681</v>
      </c>
      <c r="H20" s="242">
        <f t="shared" si="2"/>
        <v>0.9001689650523932</v>
      </c>
      <c r="I20" s="157"/>
    </row>
    <row r="21" spans="1:9" ht="15.75">
      <c r="A21" s="164"/>
      <c r="B21" s="165">
        <f>DATE(14,6,1)</f>
        <v>5266</v>
      </c>
      <c r="C21" s="226">
        <v>102543135.58</v>
      </c>
      <c r="D21" s="226">
        <v>10081498.52</v>
      </c>
      <c r="E21" s="226">
        <v>11482730.89</v>
      </c>
      <c r="F21" s="166">
        <f t="shared" si="0"/>
        <v>-0.12202954013494267</v>
      </c>
      <c r="G21" s="241">
        <f t="shared" si="1"/>
        <v>0.09831470885864245</v>
      </c>
      <c r="H21" s="242">
        <f t="shared" si="2"/>
        <v>0.9016852911413575</v>
      </c>
      <c r="I21" s="157"/>
    </row>
    <row r="22" spans="1:9" ht="15.75" thickBot="1">
      <c r="A22" s="167"/>
      <c r="B22" s="168"/>
      <c r="C22" s="226"/>
      <c r="D22" s="226"/>
      <c r="E22" s="226"/>
      <c r="F22" s="166"/>
      <c r="G22" s="241"/>
      <c r="H22" s="242"/>
      <c r="I22" s="157"/>
    </row>
    <row r="23" spans="1:9" ht="17.25" thickBot="1" thickTop="1">
      <c r="A23" s="169" t="s">
        <v>14</v>
      </c>
      <c r="B23" s="155"/>
      <c r="C23" s="223">
        <f>SUM(C10:C22)</f>
        <v>1343155895.53</v>
      </c>
      <c r="D23" s="223">
        <f>SUM(D10:D22)</f>
        <v>130302241.71</v>
      </c>
      <c r="E23" s="223">
        <f>SUM(E10:E22)</f>
        <v>139360755.67</v>
      </c>
      <c r="F23" s="170">
        <f>(+D23-E23)/E23</f>
        <v>-0.06500046527768655</v>
      </c>
      <c r="G23" s="236">
        <f>D23/C23</f>
        <v>0.0970120014688121</v>
      </c>
      <c r="H23" s="237">
        <f>1-G23</f>
        <v>0.9029879985311879</v>
      </c>
      <c r="I23" s="157"/>
    </row>
    <row r="24" spans="1:9" ht="15.75" thickTop="1">
      <c r="A24" s="171"/>
      <c r="B24" s="172"/>
      <c r="C24" s="227"/>
      <c r="D24" s="227"/>
      <c r="E24" s="227"/>
      <c r="F24" s="173"/>
      <c r="G24" s="243"/>
      <c r="H24" s="244"/>
      <c r="I24" s="157"/>
    </row>
    <row r="25" spans="1:9" ht="15.75">
      <c r="A25" s="19" t="s">
        <v>51</v>
      </c>
      <c r="B25" s="165">
        <f>DATE(13,7,1)</f>
        <v>4931</v>
      </c>
      <c r="C25" s="226">
        <v>73337601.5</v>
      </c>
      <c r="D25" s="226">
        <v>5989524.29</v>
      </c>
      <c r="E25" s="226">
        <v>6954692.89</v>
      </c>
      <c r="F25" s="166">
        <f aca="true" t="shared" si="3" ref="F25:F36">(+D25-E25)/E25</f>
        <v>-0.13877947096525203</v>
      </c>
      <c r="G25" s="241">
        <f aca="true" t="shared" si="4" ref="G25:G36">D25/C25</f>
        <v>0.081670577814029</v>
      </c>
      <c r="H25" s="242">
        <f aca="true" t="shared" si="5" ref="H25:H36">1-G25</f>
        <v>0.918329422185971</v>
      </c>
      <c r="I25" s="157"/>
    </row>
    <row r="26" spans="1:9" ht="15.75">
      <c r="A26" s="19"/>
      <c r="B26" s="165">
        <f>DATE(13,8,1)</f>
        <v>4962</v>
      </c>
      <c r="C26" s="226">
        <v>77429227.11</v>
      </c>
      <c r="D26" s="226">
        <v>6567672.58</v>
      </c>
      <c r="E26" s="226">
        <v>6844953.8</v>
      </c>
      <c r="F26" s="166">
        <f t="shared" si="3"/>
        <v>-0.04050885193702838</v>
      </c>
      <c r="G26" s="241">
        <f t="shared" si="4"/>
        <v>0.084821621306766</v>
      </c>
      <c r="H26" s="242">
        <f t="shared" si="5"/>
        <v>0.915178378693234</v>
      </c>
      <c r="I26" s="157"/>
    </row>
    <row r="27" spans="1:9" ht="15.75">
      <c r="A27" s="19"/>
      <c r="B27" s="165">
        <f>DATE(13,9,1)</f>
        <v>4993</v>
      </c>
      <c r="C27" s="226">
        <v>69006106.27</v>
      </c>
      <c r="D27" s="226">
        <v>6163226.74</v>
      </c>
      <c r="E27" s="226">
        <v>6525426.05</v>
      </c>
      <c r="F27" s="166">
        <f t="shared" si="3"/>
        <v>-0.05550584854149096</v>
      </c>
      <c r="G27" s="241">
        <f t="shared" si="4"/>
        <v>0.08931422265567572</v>
      </c>
      <c r="H27" s="242">
        <f t="shared" si="5"/>
        <v>0.9106857773443243</v>
      </c>
      <c r="I27" s="157"/>
    </row>
    <row r="28" spans="1:9" ht="15.75">
      <c r="A28" s="19"/>
      <c r="B28" s="165">
        <f>DATE(13,10,1)</f>
        <v>5023</v>
      </c>
      <c r="C28" s="226">
        <v>65835190.42</v>
      </c>
      <c r="D28" s="226">
        <v>5687342.66</v>
      </c>
      <c r="E28" s="226">
        <v>6059529.78</v>
      </c>
      <c r="F28" s="166">
        <f t="shared" si="3"/>
        <v>-0.06142178246708775</v>
      </c>
      <c r="G28" s="241">
        <f t="shared" si="4"/>
        <v>0.08638757818906906</v>
      </c>
      <c r="H28" s="242">
        <f t="shared" si="5"/>
        <v>0.9136124218109309</v>
      </c>
      <c r="I28" s="157"/>
    </row>
    <row r="29" spans="1:9" ht="15.75">
      <c r="A29" s="19"/>
      <c r="B29" s="165">
        <f>DATE(13,11,1)</f>
        <v>5054</v>
      </c>
      <c r="C29" s="226">
        <v>69842052.58</v>
      </c>
      <c r="D29" s="226">
        <v>6197477.62</v>
      </c>
      <c r="E29" s="226">
        <v>5937542.73</v>
      </c>
      <c r="F29" s="166">
        <f t="shared" si="3"/>
        <v>0.043778192733949325</v>
      </c>
      <c r="G29" s="241">
        <f t="shared" si="4"/>
        <v>0.08873561688212343</v>
      </c>
      <c r="H29" s="242">
        <f t="shared" si="5"/>
        <v>0.9112643831178766</v>
      </c>
      <c r="I29" s="157"/>
    </row>
    <row r="30" spans="1:9" ht="15.75">
      <c r="A30" s="19"/>
      <c r="B30" s="165">
        <f>DATE(13,12,1)</f>
        <v>5084</v>
      </c>
      <c r="C30" s="226">
        <v>63542330.92</v>
      </c>
      <c r="D30" s="226">
        <v>5485192.67</v>
      </c>
      <c r="E30" s="226">
        <v>6122047.74</v>
      </c>
      <c r="F30" s="166">
        <f t="shared" si="3"/>
        <v>-0.10402647889184874</v>
      </c>
      <c r="G30" s="241">
        <f t="shared" si="4"/>
        <v>0.08632344124904506</v>
      </c>
      <c r="H30" s="242">
        <f t="shared" si="5"/>
        <v>0.913676558750955</v>
      </c>
      <c r="I30" s="157"/>
    </row>
    <row r="31" spans="1:9" ht="15.75">
      <c r="A31" s="19"/>
      <c r="B31" s="165">
        <f>DATE(14,1,1)</f>
        <v>5115</v>
      </c>
      <c r="C31" s="226">
        <v>60721546.42</v>
      </c>
      <c r="D31" s="226">
        <v>5543860.37</v>
      </c>
      <c r="E31" s="226">
        <v>5687499.81</v>
      </c>
      <c r="F31" s="166">
        <f t="shared" si="3"/>
        <v>-0.025255286997539168</v>
      </c>
      <c r="G31" s="241">
        <f t="shared" si="4"/>
        <v>0.09129972302836487</v>
      </c>
      <c r="H31" s="242">
        <f t="shared" si="5"/>
        <v>0.9087002769716351</v>
      </c>
      <c r="I31" s="157"/>
    </row>
    <row r="32" spans="1:9" ht="15.75">
      <c r="A32" s="19"/>
      <c r="B32" s="165">
        <f>DATE(14,2,1)</f>
        <v>5146</v>
      </c>
      <c r="C32" s="226">
        <v>63919931.8</v>
      </c>
      <c r="D32" s="226">
        <v>5907861.23</v>
      </c>
      <c r="E32" s="226">
        <v>5930231.22</v>
      </c>
      <c r="F32" s="166">
        <f t="shared" si="3"/>
        <v>-0.0037721952433415057</v>
      </c>
      <c r="G32" s="241">
        <f t="shared" si="4"/>
        <v>0.09242596266349584</v>
      </c>
      <c r="H32" s="242">
        <f t="shared" si="5"/>
        <v>0.9075740373365042</v>
      </c>
      <c r="I32" s="157"/>
    </row>
    <row r="33" spans="1:9" ht="15.75">
      <c r="A33" s="19"/>
      <c r="B33" s="165">
        <f>DATE(14,3,1)</f>
        <v>5174</v>
      </c>
      <c r="C33" s="226">
        <v>70402823.95</v>
      </c>
      <c r="D33" s="226">
        <v>6218826.71</v>
      </c>
      <c r="E33" s="226">
        <v>6998209.18</v>
      </c>
      <c r="F33" s="166">
        <f t="shared" si="3"/>
        <v>-0.11136884450773159</v>
      </c>
      <c r="G33" s="241">
        <f t="shared" si="4"/>
        <v>0.08833206341860098</v>
      </c>
      <c r="H33" s="242">
        <f t="shared" si="5"/>
        <v>0.911667936581399</v>
      </c>
      <c r="I33" s="157"/>
    </row>
    <row r="34" spans="1:9" ht="15.75">
      <c r="A34" s="19"/>
      <c r="B34" s="165">
        <f>DATE(14,4,1)</f>
        <v>5205</v>
      </c>
      <c r="C34" s="226">
        <v>67806713.23</v>
      </c>
      <c r="D34" s="226">
        <v>5969339.96</v>
      </c>
      <c r="E34" s="226">
        <v>6225459.4</v>
      </c>
      <c r="F34" s="166">
        <f t="shared" si="3"/>
        <v>-0.041140648993711275</v>
      </c>
      <c r="G34" s="241">
        <f t="shared" si="4"/>
        <v>0.08803464547458643</v>
      </c>
      <c r="H34" s="242">
        <f t="shared" si="5"/>
        <v>0.9119653545254136</v>
      </c>
      <c r="I34" s="157"/>
    </row>
    <row r="35" spans="1:9" ht="15.75">
      <c r="A35" s="19"/>
      <c r="B35" s="165">
        <f>DATE(14,5,1)</f>
        <v>5235</v>
      </c>
      <c r="C35" s="226">
        <v>71064505.36</v>
      </c>
      <c r="D35" s="226">
        <v>6133504.36</v>
      </c>
      <c r="E35" s="226">
        <v>6391804.72</v>
      </c>
      <c r="F35" s="166">
        <f t="shared" si="3"/>
        <v>-0.04041117826891298</v>
      </c>
      <c r="G35" s="241">
        <f t="shared" si="4"/>
        <v>0.08630897139055244</v>
      </c>
      <c r="H35" s="242">
        <f t="shared" si="5"/>
        <v>0.9136910286094475</v>
      </c>
      <c r="I35" s="157"/>
    </row>
    <row r="36" spans="1:9" ht="15.75">
      <c r="A36" s="19"/>
      <c r="B36" s="165">
        <f>DATE(14,6,1)</f>
        <v>5266</v>
      </c>
      <c r="C36" s="226">
        <v>65492638.76</v>
      </c>
      <c r="D36" s="226">
        <v>5918104.68</v>
      </c>
      <c r="E36" s="226">
        <v>6108217.28</v>
      </c>
      <c r="F36" s="166">
        <f t="shared" si="3"/>
        <v>-0.03112407291444625</v>
      </c>
      <c r="G36" s="241">
        <f t="shared" si="4"/>
        <v>0.09036289867151476</v>
      </c>
      <c r="H36" s="242">
        <f t="shared" si="5"/>
        <v>0.9096371013284852</v>
      </c>
      <c r="I36" s="157"/>
    </row>
    <row r="37" spans="1:9" ht="15.7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Bot="1" thickTop="1">
      <c r="A38" s="169" t="s">
        <v>14</v>
      </c>
      <c r="B38" s="155"/>
      <c r="C38" s="223">
        <f>SUM(C25:C37)</f>
        <v>818400668.32</v>
      </c>
      <c r="D38" s="223">
        <f>SUM(D25:D37)</f>
        <v>71781933.87</v>
      </c>
      <c r="E38" s="223">
        <f>SUM(E25:E37)</f>
        <v>75785614.60000001</v>
      </c>
      <c r="F38" s="170">
        <f>(+D38-E38)/E38</f>
        <v>-0.052829032938924055</v>
      </c>
      <c r="G38" s="236">
        <f>D38/C38</f>
        <v>0.08771001374834264</v>
      </c>
      <c r="H38" s="237">
        <f>1-G38</f>
        <v>0.9122899862516574</v>
      </c>
      <c r="I38" s="157"/>
    </row>
    <row r="39" spans="1:9" ht="15.75" thickTop="1">
      <c r="A39" s="171"/>
      <c r="B39" s="172"/>
      <c r="C39" s="227"/>
      <c r="D39" s="227"/>
      <c r="E39" s="227"/>
      <c r="F39" s="173"/>
      <c r="G39" s="243"/>
      <c r="H39" s="244"/>
      <c r="I39" s="157"/>
    </row>
    <row r="40" spans="1:9" ht="15.75">
      <c r="A40" s="19" t="s">
        <v>61</v>
      </c>
      <c r="B40" s="165">
        <f>DATE(13,7,1)</f>
        <v>4931</v>
      </c>
      <c r="C40" s="226">
        <v>22225189.54</v>
      </c>
      <c r="D40" s="226">
        <v>2470933.68</v>
      </c>
      <c r="E40" s="226">
        <v>2868439.42</v>
      </c>
      <c r="F40" s="166">
        <f aca="true" t="shared" si="6" ref="F40:F51">(+D40-E40)/E40</f>
        <v>-0.13857909538839058</v>
      </c>
      <c r="G40" s="241">
        <f aca="true" t="shared" si="7" ref="G40:G51">D40/C40</f>
        <v>0.11117717019028853</v>
      </c>
      <c r="H40" s="242">
        <f aca="true" t="shared" si="8" ref="H40:H51">1-G40</f>
        <v>0.8888228298097115</v>
      </c>
      <c r="I40" s="157"/>
    </row>
    <row r="41" spans="1:9" ht="15.75">
      <c r="A41" s="19"/>
      <c r="B41" s="165">
        <f>DATE(13,8,1)</f>
        <v>4962</v>
      </c>
      <c r="C41" s="226">
        <v>22630397.29</v>
      </c>
      <c r="D41" s="226">
        <v>2466434.72</v>
      </c>
      <c r="E41" s="226">
        <v>2732934.72</v>
      </c>
      <c r="F41" s="166">
        <f t="shared" si="6"/>
        <v>-0.09751422090316156</v>
      </c>
      <c r="G41" s="241">
        <f t="shared" si="7"/>
        <v>0.10898768980471576</v>
      </c>
      <c r="H41" s="242">
        <f t="shared" si="8"/>
        <v>0.8910123101952843</v>
      </c>
      <c r="I41" s="157"/>
    </row>
    <row r="42" spans="1:9" ht="15.75">
      <c r="A42" s="19"/>
      <c r="B42" s="165">
        <f>DATE(13,9,1)</f>
        <v>4993</v>
      </c>
      <c r="C42" s="226">
        <v>20376183.97</v>
      </c>
      <c r="D42" s="226">
        <v>2199194.21</v>
      </c>
      <c r="E42" s="226">
        <v>2595910.43</v>
      </c>
      <c r="F42" s="166">
        <f t="shared" si="6"/>
        <v>-0.15282353944700633</v>
      </c>
      <c r="G42" s="241">
        <f t="shared" si="7"/>
        <v>0.1079296404683963</v>
      </c>
      <c r="H42" s="242">
        <f t="shared" si="8"/>
        <v>0.8920703595316037</v>
      </c>
      <c r="I42" s="157"/>
    </row>
    <row r="43" spans="1:9" ht="15.75">
      <c r="A43" s="19"/>
      <c r="B43" s="165">
        <f>DATE(13,10,1)</f>
        <v>5023</v>
      </c>
      <c r="C43" s="226">
        <v>19629134.51</v>
      </c>
      <c r="D43" s="226">
        <v>2044677.84</v>
      </c>
      <c r="E43" s="226">
        <v>2366906.62</v>
      </c>
      <c r="F43" s="166">
        <f t="shared" si="6"/>
        <v>-0.1361392026526167</v>
      </c>
      <c r="G43" s="241">
        <f t="shared" si="7"/>
        <v>0.10416546073176815</v>
      </c>
      <c r="H43" s="242">
        <f t="shared" si="8"/>
        <v>0.8958345392682319</v>
      </c>
      <c r="I43" s="157"/>
    </row>
    <row r="44" spans="1:9" ht="15.75">
      <c r="A44" s="19"/>
      <c r="B44" s="165">
        <f>DATE(13,11,1)</f>
        <v>5054</v>
      </c>
      <c r="C44" s="226">
        <v>20390091.06</v>
      </c>
      <c r="D44" s="226">
        <v>2169847.31</v>
      </c>
      <c r="E44" s="226">
        <v>2262395.17</v>
      </c>
      <c r="F44" s="166">
        <f t="shared" si="6"/>
        <v>-0.04090702686569114</v>
      </c>
      <c r="G44" s="241">
        <f t="shared" si="7"/>
        <v>0.10641675427613319</v>
      </c>
      <c r="H44" s="242">
        <f t="shared" si="8"/>
        <v>0.8935832457238668</v>
      </c>
      <c r="I44" s="157"/>
    </row>
    <row r="45" spans="1:9" ht="15.75">
      <c r="A45" s="19"/>
      <c r="B45" s="165">
        <f>DATE(13,12,1)</f>
        <v>5084</v>
      </c>
      <c r="C45" s="226">
        <v>19040353.1</v>
      </c>
      <c r="D45" s="226">
        <v>2102627.31</v>
      </c>
      <c r="E45" s="226">
        <v>2389401.57</v>
      </c>
      <c r="F45" s="166">
        <f t="shared" si="6"/>
        <v>-0.1200192816479985</v>
      </c>
      <c r="G45" s="241">
        <f t="shared" si="7"/>
        <v>0.11043005867364927</v>
      </c>
      <c r="H45" s="242">
        <f t="shared" si="8"/>
        <v>0.8895699413263507</v>
      </c>
      <c r="I45" s="157"/>
    </row>
    <row r="46" spans="1:9" ht="15.75">
      <c r="A46" s="19"/>
      <c r="B46" s="165">
        <f>DATE(14,1,1)</f>
        <v>5115</v>
      </c>
      <c r="C46" s="226">
        <v>19553051.38</v>
      </c>
      <c r="D46" s="226">
        <v>2114904.8</v>
      </c>
      <c r="E46" s="226">
        <v>2059962.94</v>
      </c>
      <c r="F46" s="166">
        <f t="shared" si="6"/>
        <v>0.026671285649439824</v>
      </c>
      <c r="G46" s="241">
        <f t="shared" si="7"/>
        <v>0.10816239158268912</v>
      </c>
      <c r="H46" s="242">
        <f t="shared" si="8"/>
        <v>0.8918376084173109</v>
      </c>
      <c r="I46" s="157"/>
    </row>
    <row r="47" spans="1:9" ht="15.75">
      <c r="A47" s="19"/>
      <c r="B47" s="165">
        <f>DATE(14,2,1)</f>
        <v>5146</v>
      </c>
      <c r="C47" s="226">
        <v>23142681.47</v>
      </c>
      <c r="D47" s="226">
        <v>2458744.47</v>
      </c>
      <c r="E47" s="226">
        <v>2558765.54</v>
      </c>
      <c r="F47" s="166">
        <f t="shared" si="6"/>
        <v>-0.039089579891716</v>
      </c>
      <c r="G47" s="241">
        <f t="shared" si="7"/>
        <v>0.10624285146849927</v>
      </c>
      <c r="H47" s="242">
        <f t="shared" si="8"/>
        <v>0.8937571485315008</v>
      </c>
      <c r="I47" s="157"/>
    </row>
    <row r="48" spans="1:9" ht="15.75">
      <c r="A48" s="19"/>
      <c r="B48" s="165">
        <f>DATE(14,3,1)</f>
        <v>5174</v>
      </c>
      <c r="C48" s="226">
        <v>23664619.5</v>
      </c>
      <c r="D48" s="226">
        <v>2566685.54</v>
      </c>
      <c r="E48" s="226">
        <v>2647834.39</v>
      </c>
      <c r="F48" s="166">
        <f t="shared" si="6"/>
        <v>-0.030647252829131843</v>
      </c>
      <c r="G48" s="241">
        <f t="shared" si="7"/>
        <v>0.1084608835565685</v>
      </c>
      <c r="H48" s="242">
        <f t="shared" si="8"/>
        <v>0.8915391164434315</v>
      </c>
      <c r="I48" s="157"/>
    </row>
    <row r="49" spans="1:9" ht="15.75">
      <c r="A49" s="19"/>
      <c r="B49" s="165">
        <f>DATE(14,4,1)</f>
        <v>5205</v>
      </c>
      <c r="C49" s="226">
        <v>22620070.46</v>
      </c>
      <c r="D49" s="226">
        <v>2446538.53</v>
      </c>
      <c r="E49" s="226">
        <v>2499715.01</v>
      </c>
      <c r="F49" s="166">
        <f t="shared" si="6"/>
        <v>-0.021273017038850355</v>
      </c>
      <c r="G49" s="241">
        <f t="shared" si="7"/>
        <v>0.10815786512806466</v>
      </c>
      <c r="H49" s="242">
        <f t="shared" si="8"/>
        <v>0.8918421348719353</v>
      </c>
      <c r="I49" s="157"/>
    </row>
    <row r="50" spans="1:9" ht="15.75">
      <c r="A50" s="19"/>
      <c r="B50" s="165">
        <f>DATE(14,5,1)</f>
        <v>5235</v>
      </c>
      <c r="C50" s="226">
        <v>23195018.85</v>
      </c>
      <c r="D50" s="226">
        <v>2498615.84</v>
      </c>
      <c r="E50" s="226">
        <v>2581836.34</v>
      </c>
      <c r="F50" s="166">
        <f t="shared" si="6"/>
        <v>-0.032233065555193174</v>
      </c>
      <c r="G50" s="241">
        <f t="shared" si="7"/>
        <v>0.10772208706353345</v>
      </c>
      <c r="H50" s="242">
        <f t="shared" si="8"/>
        <v>0.8922779129364665</v>
      </c>
      <c r="I50" s="157"/>
    </row>
    <row r="51" spans="1:9" ht="15.75">
      <c r="A51" s="19"/>
      <c r="B51" s="165">
        <f>DATE(14,6,1)</f>
        <v>5266</v>
      </c>
      <c r="C51" s="226">
        <v>20607927.82</v>
      </c>
      <c r="D51" s="226">
        <v>2173681.08</v>
      </c>
      <c r="E51" s="226">
        <v>2308857.73</v>
      </c>
      <c r="F51" s="166">
        <f t="shared" si="6"/>
        <v>-0.05854698115158438</v>
      </c>
      <c r="G51" s="241">
        <f t="shared" si="7"/>
        <v>0.10547790631770565</v>
      </c>
      <c r="H51" s="242">
        <f t="shared" si="8"/>
        <v>0.8945220936822944</v>
      </c>
      <c r="I51" s="157"/>
    </row>
    <row r="52" spans="1:9" ht="15.75" thickBot="1">
      <c r="A52" s="167"/>
      <c r="B52" s="165"/>
      <c r="C52" s="226"/>
      <c r="D52" s="226"/>
      <c r="E52" s="226"/>
      <c r="F52" s="166"/>
      <c r="G52" s="241"/>
      <c r="H52" s="242"/>
      <c r="I52" s="157"/>
    </row>
    <row r="53" spans="1:9" ht="17.25" thickBot="1" thickTop="1">
      <c r="A53" s="174" t="s">
        <v>14</v>
      </c>
      <c r="B53" s="175"/>
      <c r="C53" s="228">
        <f>SUM(C40:C52)</f>
        <v>257074718.95</v>
      </c>
      <c r="D53" s="228">
        <f>SUM(D40:D52)</f>
        <v>27712885.33</v>
      </c>
      <c r="E53" s="228">
        <f>SUM(E40:E52)</f>
        <v>29872959.880000003</v>
      </c>
      <c r="F53" s="176">
        <f>(+D53-E53)/E53</f>
        <v>-0.07230868848206026</v>
      </c>
      <c r="G53" s="245">
        <f>D53/C53</f>
        <v>0.10780089712123753</v>
      </c>
      <c r="H53" s="246">
        <f>1-G53</f>
        <v>0.8921991028787625</v>
      </c>
      <c r="I53" s="157"/>
    </row>
    <row r="54" spans="1:9" ht="15.75" thickTop="1">
      <c r="A54" s="167"/>
      <c r="B54" s="168"/>
      <c r="C54" s="226"/>
      <c r="D54" s="226"/>
      <c r="E54" s="226"/>
      <c r="F54" s="166"/>
      <c r="G54" s="241"/>
      <c r="H54" s="242"/>
      <c r="I54" s="157"/>
    </row>
    <row r="55" spans="1:9" ht="15.75">
      <c r="A55" s="177" t="s">
        <v>74</v>
      </c>
      <c r="B55" s="165">
        <f>DATE(13,7,1)</f>
        <v>4931</v>
      </c>
      <c r="C55" s="226">
        <v>181217527.64</v>
      </c>
      <c r="D55" s="226">
        <v>17835300.09</v>
      </c>
      <c r="E55" s="226">
        <v>19825993.36</v>
      </c>
      <c r="F55" s="166">
        <f aca="true" t="shared" si="9" ref="F55:F66">(+D55-E55)/E55</f>
        <v>-0.10040824859834412</v>
      </c>
      <c r="G55" s="241">
        <f aca="true" t="shared" si="10" ref="G55:G66">D55/C55</f>
        <v>0.09841928825687847</v>
      </c>
      <c r="H55" s="242">
        <f aca="true" t="shared" si="11" ref="H55:H66">1-G55</f>
        <v>0.9015807117431215</v>
      </c>
      <c r="I55" s="157"/>
    </row>
    <row r="56" spans="1:9" ht="15.75">
      <c r="A56" s="177"/>
      <c r="B56" s="165">
        <f>DATE(13,8,1)</f>
        <v>4962</v>
      </c>
      <c r="C56" s="226">
        <v>181009252.46</v>
      </c>
      <c r="D56" s="226">
        <v>17319904.37</v>
      </c>
      <c r="E56" s="226">
        <v>17734989.21</v>
      </c>
      <c r="F56" s="166">
        <f t="shared" si="9"/>
        <v>-0.023404854386150475</v>
      </c>
      <c r="G56" s="241">
        <f t="shared" si="10"/>
        <v>0.09568518810289771</v>
      </c>
      <c r="H56" s="242">
        <f t="shared" si="11"/>
        <v>0.9043148118971023</v>
      </c>
      <c r="I56" s="157"/>
    </row>
    <row r="57" spans="1:9" ht="15.75">
      <c r="A57" s="177"/>
      <c r="B57" s="165">
        <f>DATE(13,9,1)</f>
        <v>4993</v>
      </c>
      <c r="C57" s="226">
        <v>161364045.23</v>
      </c>
      <c r="D57" s="226">
        <v>15597210.9</v>
      </c>
      <c r="E57" s="226">
        <v>17774948.38</v>
      </c>
      <c r="F57" s="166">
        <f t="shared" si="9"/>
        <v>-0.1225172323116473</v>
      </c>
      <c r="G57" s="241">
        <f t="shared" si="10"/>
        <v>0.0966585268593666</v>
      </c>
      <c r="H57" s="242">
        <f t="shared" si="11"/>
        <v>0.9033414731406334</v>
      </c>
      <c r="I57" s="157"/>
    </row>
    <row r="58" spans="1:9" ht="15.75">
      <c r="A58" s="177"/>
      <c r="B58" s="165">
        <f>DATE(13,10,1)</f>
        <v>5023</v>
      </c>
      <c r="C58" s="284">
        <v>159554135.25</v>
      </c>
      <c r="D58" s="226">
        <v>14804268.75</v>
      </c>
      <c r="E58" s="226">
        <v>16713103.25</v>
      </c>
      <c r="F58" s="166">
        <f t="shared" si="9"/>
        <v>-0.11421185350482413</v>
      </c>
      <c r="G58" s="241">
        <f t="shared" si="10"/>
        <v>0.09278524011178833</v>
      </c>
      <c r="H58" s="242">
        <f t="shared" si="11"/>
        <v>0.9072147598882117</v>
      </c>
      <c r="I58" s="157"/>
    </row>
    <row r="59" spans="1:9" ht="15.75">
      <c r="A59" s="177"/>
      <c r="B59" s="165">
        <f>DATE(13,11,1)</f>
        <v>5054</v>
      </c>
      <c r="C59" s="284">
        <v>159833524.32</v>
      </c>
      <c r="D59" s="226">
        <v>15166817.13</v>
      </c>
      <c r="E59" s="226">
        <f>291842.56+14510229.24</f>
        <v>14802071.8</v>
      </c>
      <c r="F59" s="166">
        <f t="shared" si="9"/>
        <v>0.02464150525198777</v>
      </c>
      <c r="G59" s="241">
        <f t="shared" si="10"/>
        <v>0.09489133893859947</v>
      </c>
      <c r="H59" s="242">
        <f t="shared" si="11"/>
        <v>0.9051086610614005</v>
      </c>
      <c r="I59" s="157"/>
    </row>
    <row r="60" spans="1:9" ht="15.75">
      <c r="A60" s="177"/>
      <c r="B60" s="165">
        <f>DATE(13,12,1)</f>
        <v>5084</v>
      </c>
      <c r="C60" s="284">
        <v>158894163.15</v>
      </c>
      <c r="D60" s="226">
        <v>15302968.84</v>
      </c>
      <c r="E60" s="226">
        <v>16625088.4</v>
      </c>
      <c r="F60" s="166">
        <f t="shared" si="9"/>
        <v>-0.07952556571067619</v>
      </c>
      <c r="G60" s="241">
        <f t="shared" si="10"/>
        <v>0.09630919435066737</v>
      </c>
      <c r="H60" s="242">
        <f t="shared" si="11"/>
        <v>0.9036908056493327</v>
      </c>
      <c r="I60" s="157"/>
    </row>
    <row r="61" spans="1:9" ht="15.75">
      <c r="A61" s="177"/>
      <c r="B61" s="165">
        <f>DATE(14,1,1)</f>
        <v>5115</v>
      </c>
      <c r="C61" s="284">
        <v>155302425.02</v>
      </c>
      <c r="D61" s="226">
        <v>14800070.33</v>
      </c>
      <c r="E61" s="226">
        <v>16955664.76</v>
      </c>
      <c r="F61" s="166">
        <f t="shared" si="9"/>
        <v>-0.12713122490397724</v>
      </c>
      <c r="G61" s="241">
        <f t="shared" si="10"/>
        <v>0.09529838525118994</v>
      </c>
      <c r="H61" s="242">
        <f t="shared" si="11"/>
        <v>0.9047016147488101</v>
      </c>
      <c r="I61" s="157"/>
    </row>
    <row r="62" spans="1:9" ht="15.75">
      <c r="A62" s="177"/>
      <c r="B62" s="165">
        <f>DATE(14,2,1)</f>
        <v>5146</v>
      </c>
      <c r="C62" s="284">
        <v>159754755.05</v>
      </c>
      <c r="D62" s="226">
        <v>15128457.93</v>
      </c>
      <c r="E62" s="226">
        <v>17294180.35</v>
      </c>
      <c r="F62" s="166">
        <f t="shared" si="9"/>
        <v>-0.1252283933768507</v>
      </c>
      <c r="G62" s="241">
        <f t="shared" si="10"/>
        <v>0.09469801337221605</v>
      </c>
      <c r="H62" s="242">
        <f t="shared" si="11"/>
        <v>0.9053019866277839</v>
      </c>
      <c r="I62" s="157"/>
    </row>
    <row r="63" spans="1:9" ht="15.75">
      <c r="A63" s="177"/>
      <c r="B63" s="165">
        <f>DATE(14,3,1)</f>
        <v>5174</v>
      </c>
      <c r="C63" s="284">
        <v>179869337.7</v>
      </c>
      <c r="D63" s="226">
        <v>17395656.23</v>
      </c>
      <c r="E63" s="226">
        <v>19257979.67</v>
      </c>
      <c r="F63" s="166">
        <f t="shared" si="9"/>
        <v>-0.09670398826420618</v>
      </c>
      <c r="G63" s="241">
        <f t="shared" si="10"/>
        <v>0.09671273854921189</v>
      </c>
      <c r="H63" s="242">
        <f t="shared" si="11"/>
        <v>0.9032872614507881</v>
      </c>
      <c r="I63" s="157"/>
    </row>
    <row r="64" spans="1:9" ht="15.75">
      <c r="A64" s="177"/>
      <c r="B64" s="165">
        <f>DATE(14,4,1)</f>
        <v>5205</v>
      </c>
      <c r="C64" s="284">
        <v>169765510.06</v>
      </c>
      <c r="D64" s="226">
        <v>16153549.96</v>
      </c>
      <c r="E64" s="226">
        <v>16822391.36</v>
      </c>
      <c r="F64" s="166">
        <f t="shared" si="9"/>
        <v>-0.03975899654732551</v>
      </c>
      <c r="G64" s="241">
        <f t="shared" si="10"/>
        <v>0.09515213045506636</v>
      </c>
      <c r="H64" s="242">
        <f t="shared" si="11"/>
        <v>0.9048478695449337</v>
      </c>
      <c r="I64" s="157"/>
    </row>
    <row r="65" spans="1:9" ht="15.75">
      <c r="A65" s="177"/>
      <c r="B65" s="165">
        <f>DATE(14,5,1)</f>
        <v>5235</v>
      </c>
      <c r="C65" s="284">
        <v>192101319.05</v>
      </c>
      <c r="D65" s="226">
        <v>17796801.27</v>
      </c>
      <c r="E65" s="226">
        <v>17632963.2</v>
      </c>
      <c r="F65" s="166">
        <f t="shared" si="9"/>
        <v>0.009291578967283293</v>
      </c>
      <c r="G65" s="241">
        <f t="shared" si="10"/>
        <v>0.09264278536977594</v>
      </c>
      <c r="H65" s="242">
        <f t="shared" si="11"/>
        <v>0.907357214630224</v>
      </c>
      <c r="I65" s="157"/>
    </row>
    <row r="66" spans="1:9" ht="15.75">
      <c r="A66" s="177"/>
      <c r="B66" s="165">
        <f>DATE(14,6,1)</f>
        <v>5266</v>
      </c>
      <c r="C66" s="284">
        <v>163019402.12</v>
      </c>
      <c r="D66" s="226">
        <v>15385845.63</v>
      </c>
      <c r="E66" s="226">
        <v>15611273.74</v>
      </c>
      <c r="F66" s="166">
        <f t="shared" si="9"/>
        <v>-0.014440084374562982</v>
      </c>
      <c r="G66" s="241">
        <f t="shared" si="10"/>
        <v>0.09438045674265413</v>
      </c>
      <c r="H66" s="242">
        <f t="shared" si="11"/>
        <v>0.9056195432573458</v>
      </c>
      <c r="I66" s="157"/>
    </row>
    <row r="67" spans="1:9" ht="15.75" thickBot="1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Bot="1" thickTop="1">
      <c r="A68" s="174" t="s">
        <v>14</v>
      </c>
      <c r="B68" s="178"/>
      <c r="C68" s="228">
        <f>SUM(C55:C67)</f>
        <v>2021685397.0500002</v>
      </c>
      <c r="D68" s="228">
        <f>SUM(D55:D67)</f>
        <v>192686851.43</v>
      </c>
      <c r="E68" s="228">
        <f>SUM(E55:E67)</f>
        <v>207050647.48000002</v>
      </c>
      <c r="F68" s="176">
        <f>(+D68-E68)/E68</f>
        <v>-0.06937334524098737</v>
      </c>
      <c r="G68" s="245">
        <f>D68/C68</f>
        <v>0.09531000803149912</v>
      </c>
      <c r="H68" s="246">
        <f>1-G68</f>
        <v>0.9046899919685009</v>
      </c>
      <c r="I68" s="157"/>
    </row>
    <row r="69" spans="1:9" ht="15.7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>
      <c r="A70" s="164" t="s">
        <v>16</v>
      </c>
      <c r="B70" s="165">
        <f>DATE(13,7,1)</f>
        <v>4931</v>
      </c>
      <c r="C70" s="226">
        <v>129200651.65</v>
      </c>
      <c r="D70" s="226">
        <v>12102747.19</v>
      </c>
      <c r="E70" s="226">
        <v>12788816.14</v>
      </c>
      <c r="F70" s="166">
        <f aca="true" t="shared" si="12" ref="F70:F81">(+D70-E70)/E70</f>
        <v>-0.05364600933265126</v>
      </c>
      <c r="G70" s="241">
        <f aca="true" t="shared" si="13" ref="G70:G81">D70/C70</f>
        <v>0.09367404138785548</v>
      </c>
      <c r="H70" s="242">
        <f aca="true" t="shared" si="14" ref="H70:H81">1-G70</f>
        <v>0.9063259586121445</v>
      </c>
      <c r="I70" s="157"/>
    </row>
    <row r="71" spans="1:9" ht="15.75">
      <c r="A71" s="164"/>
      <c r="B71" s="165">
        <f>DATE(13,8,1)</f>
        <v>4962</v>
      </c>
      <c r="C71" s="226">
        <v>137124547.52</v>
      </c>
      <c r="D71" s="226">
        <v>12818955.17</v>
      </c>
      <c r="E71" s="226">
        <v>13368497.03</v>
      </c>
      <c r="F71" s="166">
        <f t="shared" si="12"/>
        <v>-0.04110722834188335</v>
      </c>
      <c r="G71" s="241">
        <f t="shared" si="13"/>
        <v>0.09348402894915893</v>
      </c>
      <c r="H71" s="242">
        <f t="shared" si="14"/>
        <v>0.906515971050841</v>
      </c>
      <c r="I71" s="157"/>
    </row>
    <row r="72" spans="1:9" ht="15.75">
      <c r="A72" s="164"/>
      <c r="B72" s="165">
        <f>DATE(13,9,1)</f>
        <v>4993</v>
      </c>
      <c r="C72" s="226">
        <v>124749161.94</v>
      </c>
      <c r="D72" s="226">
        <v>11559629.19</v>
      </c>
      <c r="E72" s="226">
        <v>12351231.96</v>
      </c>
      <c r="F72" s="166">
        <f t="shared" si="12"/>
        <v>-0.06409099695995032</v>
      </c>
      <c r="G72" s="241">
        <f t="shared" si="13"/>
        <v>0.09266298073857826</v>
      </c>
      <c r="H72" s="242">
        <f t="shared" si="14"/>
        <v>0.9073370192614217</v>
      </c>
      <c r="I72" s="157"/>
    </row>
    <row r="73" spans="1:9" ht="15.75">
      <c r="A73" s="164"/>
      <c r="B73" s="165">
        <f>DATE(13,10,1)</f>
        <v>5023</v>
      </c>
      <c r="C73" s="226">
        <v>127544798.35</v>
      </c>
      <c r="D73" s="226">
        <v>12317052.53</v>
      </c>
      <c r="E73" s="226">
        <v>12098364.86</v>
      </c>
      <c r="F73" s="166">
        <f t="shared" si="12"/>
        <v>0.018075803840486914</v>
      </c>
      <c r="G73" s="241">
        <f t="shared" si="13"/>
        <v>0.09657040262983017</v>
      </c>
      <c r="H73" s="242">
        <f t="shared" si="14"/>
        <v>0.9034295973701698</v>
      </c>
      <c r="I73" s="157"/>
    </row>
    <row r="74" spans="1:9" ht="15.75">
      <c r="A74" s="164"/>
      <c r="B74" s="165">
        <f>DATE(13,11,1)</f>
        <v>5054</v>
      </c>
      <c r="C74" s="226">
        <v>126400583.61</v>
      </c>
      <c r="D74" s="226">
        <v>12363565.16</v>
      </c>
      <c r="E74" s="226">
        <v>12984807.27</v>
      </c>
      <c r="F74" s="166">
        <f t="shared" si="12"/>
        <v>-0.047843768265649386</v>
      </c>
      <c r="G74" s="241">
        <f t="shared" si="13"/>
        <v>0.09781256388931636</v>
      </c>
      <c r="H74" s="242">
        <f t="shared" si="14"/>
        <v>0.9021874361106836</v>
      </c>
      <c r="I74" s="157"/>
    </row>
    <row r="75" spans="1:9" ht="15.75">
      <c r="A75" s="164"/>
      <c r="B75" s="165">
        <f>DATE(13,12,1)</f>
        <v>5084</v>
      </c>
      <c r="C75" s="226">
        <v>116463487.68</v>
      </c>
      <c r="D75" s="226">
        <v>10564622.81</v>
      </c>
      <c r="E75" s="226">
        <v>12786088.16</v>
      </c>
      <c r="F75" s="166">
        <f t="shared" si="12"/>
        <v>-0.17374081284294848</v>
      </c>
      <c r="G75" s="241">
        <f t="shared" si="13"/>
        <v>0.09071188765210092</v>
      </c>
      <c r="H75" s="242">
        <f t="shared" si="14"/>
        <v>0.9092881123478991</v>
      </c>
      <c r="I75" s="157"/>
    </row>
    <row r="76" spans="1:9" ht="15.75">
      <c r="A76" s="164"/>
      <c r="B76" s="165">
        <f>DATE(14,1,1)</f>
        <v>5115</v>
      </c>
      <c r="C76" s="226">
        <v>111559244.23</v>
      </c>
      <c r="D76" s="226">
        <v>10377889.39</v>
      </c>
      <c r="E76" s="226">
        <v>10919724.23</v>
      </c>
      <c r="F76" s="166">
        <f t="shared" si="12"/>
        <v>-0.04961982817399408</v>
      </c>
      <c r="G76" s="241">
        <f t="shared" si="13"/>
        <v>0.09302581298062636</v>
      </c>
      <c r="H76" s="242">
        <f t="shared" si="14"/>
        <v>0.9069741870193736</v>
      </c>
      <c r="I76" s="157"/>
    </row>
    <row r="77" spans="1:9" ht="15.75">
      <c r="A77" s="164"/>
      <c r="B77" s="165">
        <f>DATE(14,2,1)</f>
        <v>5146</v>
      </c>
      <c r="C77" s="226">
        <v>112509867.76</v>
      </c>
      <c r="D77" s="226">
        <v>10947235.2</v>
      </c>
      <c r="E77" s="226">
        <v>11472468.18</v>
      </c>
      <c r="F77" s="166">
        <f t="shared" si="12"/>
        <v>-0.04578203850812515</v>
      </c>
      <c r="G77" s="241">
        <f t="shared" si="13"/>
        <v>0.09730022279780874</v>
      </c>
      <c r="H77" s="242">
        <f t="shared" si="14"/>
        <v>0.9026997772021913</v>
      </c>
      <c r="I77" s="157"/>
    </row>
    <row r="78" spans="1:9" ht="15.75">
      <c r="A78" s="164"/>
      <c r="B78" s="165">
        <f>DATE(14,3,1)</f>
        <v>5174</v>
      </c>
      <c r="C78" s="226">
        <v>129196844.73</v>
      </c>
      <c r="D78" s="226">
        <v>12584292.55</v>
      </c>
      <c r="E78" s="226">
        <v>13725464.82</v>
      </c>
      <c r="F78" s="166">
        <f t="shared" si="12"/>
        <v>-0.08314270481660814</v>
      </c>
      <c r="G78" s="241">
        <f t="shared" si="13"/>
        <v>0.09740402388540592</v>
      </c>
      <c r="H78" s="242">
        <f t="shared" si="14"/>
        <v>0.9025959761145941</v>
      </c>
      <c r="I78" s="157"/>
    </row>
    <row r="79" spans="1:9" ht="15.75">
      <c r="A79" s="164"/>
      <c r="B79" s="165">
        <f>DATE(14,4,1)</f>
        <v>5205</v>
      </c>
      <c r="C79" s="226">
        <v>123238134.23</v>
      </c>
      <c r="D79" s="226">
        <v>11775007.59</v>
      </c>
      <c r="E79" s="226">
        <v>12601938.8</v>
      </c>
      <c r="F79" s="166">
        <f t="shared" si="12"/>
        <v>-0.06561936406166334</v>
      </c>
      <c r="G79" s="241">
        <f t="shared" si="13"/>
        <v>0.09554678560796968</v>
      </c>
      <c r="H79" s="242">
        <f t="shared" si="14"/>
        <v>0.9044532143920303</v>
      </c>
      <c r="I79" s="157"/>
    </row>
    <row r="80" spans="1:9" ht="15.75">
      <c r="A80" s="164"/>
      <c r="B80" s="165">
        <f>DATE(14,5,1)</f>
        <v>5235</v>
      </c>
      <c r="C80" s="226">
        <v>131770683.82</v>
      </c>
      <c r="D80" s="226">
        <v>12640291.44</v>
      </c>
      <c r="E80" s="226">
        <v>12780975.03</v>
      </c>
      <c r="F80" s="166">
        <f t="shared" si="12"/>
        <v>-0.011007265851766541</v>
      </c>
      <c r="G80" s="241">
        <f t="shared" si="13"/>
        <v>0.09592643123311675</v>
      </c>
      <c r="H80" s="242">
        <f t="shared" si="14"/>
        <v>0.9040735687668833</v>
      </c>
      <c r="I80" s="157"/>
    </row>
    <row r="81" spans="1:9" ht="15.75">
      <c r="A81" s="164"/>
      <c r="B81" s="165">
        <f>DATE(14,6,1)</f>
        <v>5266</v>
      </c>
      <c r="C81" s="226">
        <v>113853069.04</v>
      </c>
      <c r="D81" s="226">
        <v>10616700.41</v>
      </c>
      <c r="E81" s="226">
        <v>11546869.76</v>
      </c>
      <c r="F81" s="166">
        <f t="shared" si="12"/>
        <v>-0.0805559748514908</v>
      </c>
      <c r="G81" s="241">
        <f t="shared" si="13"/>
        <v>0.0932491367999051</v>
      </c>
      <c r="H81" s="242">
        <f t="shared" si="14"/>
        <v>0.9067508632000949</v>
      </c>
      <c r="I81" s="157"/>
    </row>
    <row r="82" spans="1:9" ht="15.75" thickBot="1">
      <c r="A82" s="167"/>
      <c r="B82" s="165"/>
      <c r="C82" s="226"/>
      <c r="D82" s="226"/>
      <c r="E82" s="226"/>
      <c r="F82" s="166"/>
      <c r="G82" s="241"/>
      <c r="H82" s="242"/>
      <c r="I82" s="157"/>
    </row>
    <row r="83" spans="1:9" ht="17.25" thickBot="1" thickTop="1">
      <c r="A83" s="174" t="s">
        <v>14</v>
      </c>
      <c r="B83" s="175"/>
      <c r="C83" s="228">
        <f>SUM(C70:C82)</f>
        <v>1483611074.56</v>
      </c>
      <c r="D83" s="230">
        <f>SUM(D70:D82)</f>
        <v>140667988.63</v>
      </c>
      <c r="E83" s="273">
        <f>SUM(E70:E82)</f>
        <v>149425246.23999998</v>
      </c>
      <c r="F83" s="274">
        <f>(+D83-E83)/E83</f>
        <v>-0.058606278593206926</v>
      </c>
      <c r="G83" s="249">
        <f>D83/C83</f>
        <v>0.09481459867891484</v>
      </c>
      <c r="H83" s="272">
        <f>1-G83</f>
        <v>0.9051854013210852</v>
      </c>
      <c r="I83" s="157"/>
    </row>
    <row r="84" spans="1:9" ht="15.75" thickTop="1">
      <c r="A84" s="167"/>
      <c r="B84" s="168"/>
      <c r="C84" s="226"/>
      <c r="D84" s="226"/>
      <c r="E84" s="226"/>
      <c r="F84" s="166"/>
      <c r="G84" s="241"/>
      <c r="H84" s="242"/>
      <c r="I84" s="157"/>
    </row>
    <row r="85" spans="1:9" ht="15.75">
      <c r="A85" s="164" t="s">
        <v>64</v>
      </c>
      <c r="B85" s="165">
        <f>DATE(13,7,1)</f>
        <v>4931</v>
      </c>
      <c r="C85" s="226">
        <v>47182311.41</v>
      </c>
      <c r="D85" s="226">
        <v>4284425.39</v>
      </c>
      <c r="E85" s="226">
        <v>0</v>
      </c>
      <c r="F85" s="166">
        <v>1</v>
      </c>
      <c r="G85" s="241">
        <f aca="true" t="shared" si="15" ref="G85:G96">D85/C85</f>
        <v>0.09080575457123413</v>
      </c>
      <c r="H85" s="242">
        <f aca="true" t="shared" si="16" ref="H85:H96">1-G85</f>
        <v>0.9091942454287658</v>
      </c>
      <c r="I85" s="157"/>
    </row>
    <row r="86" spans="1:9" ht="15.75">
      <c r="A86" s="164"/>
      <c r="B86" s="165">
        <f>DATE(13,8,1)</f>
        <v>4962</v>
      </c>
      <c r="C86" s="226">
        <v>51218942.59</v>
      </c>
      <c r="D86" s="226">
        <v>4679283.96</v>
      </c>
      <c r="E86" s="226">
        <v>0</v>
      </c>
      <c r="F86" s="166">
        <v>1</v>
      </c>
      <c r="G86" s="241">
        <f t="shared" si="15"/>
        <v>0.0913584647277272</v>
      </c>
      <c r="H86" s="242">
        <f t="shared" si="16"/>
        <v>0.9086415352722728</v>
      </c>
      <c r="I86" s="157"/>
    </row>
    <row r="87" spans="1:9" ht="15.75">
      <c r="A87" s="164"/>
      <c r="B87" s="165">
        <f>DATE(13,9,1)</f>
        <v>4993</v>
      </c>
      <c r="C87" s="226">
        <v>44000763.21</v>
      </c>
      <c r="D87" s="226">
        <v>4106556.6</v>
      </c>
      <c r="E87" s="226">
        <v>0</v>
      </c>
      <c r="F87" s="166">
        <v>1</v>
      </c>
      <c r="G87" s="241">
        <f t="shared" si="15"/>
        <v>0.09332921295934948</v>
      </c>
      <c r="H87" s="242">
        <f t="shared" si="16"/>
        <v>0.9066707870406505</v>
      </c>
      <c r="I87" s="157"/>
    </row>
    <row r="88" spans="1:9" ht="15.75">
      <c r="A88" s="164"/>
      <c r="B88" s="165">
        <f>DATE(13,10,1)</f>
        <v>5023</v>
      </c>
      <c r="C88" s="226">
        <v>41638301.38</v>
      </c>
      <c r="D88" s="226">
        <v>3750005.7</v>
      </c>
      <c r="E88" s="226">
        <v>537096.36</v>
      </c>
      <c r="F88" s="166">
        <f aca="true" t="shared" si="17" ref="F88:F96">(+D88-E88)/E88</f>
        <v>5.981997978910154</v>
      </c>
      <c r="G88" s="241">
        <f t="shared" si="15"/>
        <v>0.09006144765072546</v>
      </c>
      <c r="H88" s="242">
        <f t="shared" si="16"/>
        <v>0.9099385523492746</v>
      </c>
      <c r="I88" s="157"/>
    </row>
    <row r="89" spans="1:9" ht="15.75">
      <c r="A89" s="164"/>
      <c r="B89" s="165">
        <f>DATE(13,11,1)</f>
        <v>5054</v>
      </c>
      <c r="C89" s="226">
        <v>44543111.79</v>
      </c>
      <c r="D89" s="226">
        <v>4135894.29</v>
      </c>
      <c r="E89" s="226">
        <v>4625917.73</v>
      </c>
      <c r="F89" s="166">
        <f t="shared" si="17"/>
        <v>-0.10592999456564058</v>
      </c>
      <c r="G89" s="241">
        <f t="shared" si="15"/>
        <v>0.09285148979933897</v>
      </c>
      <c r="H89" s="242">
        <f t="shared" si="16"/>
        <v>0.907148510200661</v>
      </c>
      <c r="I89" s="157"/>
    </row>
    <row r="90" spans="1:9" ht="15.75">
      <c r="A90" s="164"/>
      <c r="B90" s="165">
        <f>DATE(13,12,1)</f>
        <v>5084</v>
      </c>
      <c r="C90" s="226">
        <v>43608087.11</v>
      </c>
      <c r="D90" s="226">
        <v>4017872.38</v>
      </c>
      <c r="E90" s="226">
        <v>4224276.51</v>
      </c>
      <c r="F90" s="166">
        <f t="shared" si="17"/>
        <v>-0.048861415561075545</v>
      </c>
      <c r="G90" s="241">
        <f t="shared" si="15"/>
        <v>0.09213594647857508</v>
      </c>
      <c r="H90" s="242">
        <f t="shared" si="16"/>
        <v>0.907864053521425</v>
      </c>
      <c r="I90" s="157"/>
    </row>
    <row r="91" spans="1:9" ht="15.75">
      <c r="A91" s="164"/>
      <c r="B91" s="165">
        <f>DATE(14,1,1)</f>
        <v>5115</v>
      </c>
      <c r="C91" s="284">
        <v>41993595.15</v>
      </c>
      <c r="D91" s="226">
        <v>3965079.75</v>
      </c>
      <c r="E91" s="226">
        <v>4075342.99</v>
      </c>
      <c r="F91" s="166">
        <f t="shared" si="17"/>
        <v>-0.027056186502721877</v>
      </c>
      <c r="G91" s="241">
        <f t="shared" si="15"/>
        <v>0.09442105958865492</v>
      </c>
      <c r="H91" s="242">
        <f t="shared" si="16"/>
        <v>0.9055789404113451</v>
      </c>
      <c r="I91" s="157"/>
    </row>
    <row r="92" spans="1:9" ht="15.75">
      <c r="A92" s="164"/>
      <c r="B92" s="165">
        <f>DATE(14,2,1)</f>
        <v>5146</v>
      </c>
      <c r="C92" s="284">
        <v>45391036.18</v>
      </c>
      <c r="D92" s="226">
        <v>4227193.72</v>
      </c>
      <c r="E92" s="226">
        <v>5661339.3</v>
      </c>
      <c r="F92" s="166">
        <f t="shared" si="17"/>
        <v>-0.25332266871904324</v>
      </c>
      <c r="G92" s="241">
        <f t="shared" si="15"/>
        <v>0.09312838119043794</v>
      </c>
      <c r="H92" s="242">
        <f t="shared" si="16"/>
        <v>0.906871618809562</v>
      </c>
      <c r="I92" s="157"/>
    </row>
    <row r="93" spans="1:9" ht="15.75">
      <c r="A93" s="164"/>
      <c r="B93" s="165">
        <f>DATE(14,3,1)</f>
        <v>5174</v>
      </c>
      <c r="C93" s="284">
        <v>49584094.97</v>
      </c>
      <c r="D93" s="226">
        <v>4557130.94</v>
      </c>
      <c r="E93" s="226">
        <v>6712977.53</v>
      </c>
      <c r="F93" s="166">
        <f t="shared" si="17"/>
        <v>-0.32114610548979444</v>
      </c>
      <c r="G93" s="241">
        <f t="shared" si="15"/>
        <v>0.09190711139846787</v>
      </c>
      <c r="H93" s="242">
        <f t="shared" si="16"/>
        <v>0.9080928886015321</v>
      </c>
      <c r="I93" s="157"/>
    </row>
    <row r="94" spans="1:9" ht="15.75">
      <c r="A94" s="164"/>
      <c r="B94" s="165">
        <f>DATE(14,4,1)</f>
        <v>5205</v>
      </c>
      <c r="C94" s="284">
        <v>46206335.67</v>
      </c>
      <c r="D94" s="226">
        <v>4289606.15</v>
      </c>
      <c r="E94" s="226">
        <v>4953934.75</v>
      </c>
      <c r="F94" s="166">
        <f t="shared" si="17"/>
        <v>-0.1341012010705227</v>
      </c>
      <c r="G94" s="241">
        <f t="shared" si="15"/>
        <v>0.09283588684971349</v>
      </c>
      <c r="H94" s="242">
        <f t="shared" si="16"/>
        <v>0.9071641131502866</v>
      </c>
      <c r="I94" s="157"/>
    </row>
    <row r="95" spans="1:9" ht="15.75">
      <c r="A95" s="164"/>
      <c r="B95" s="165">
        <f>DATE(14,5,1)</f>
        <v>5235</v>
      </c>
      <c r="C95" s="284">
        <v>45207524.64</v>
      </c>
      <c r="D95" s="226">
        <v>4442476.06</v>
      </c>
      <c r="E95" s="226">
        <v>4322056.13</v>
      </c>
      <c r="F95" s="166">
        <f t="shared" si="17"/>
        <v>0.027861722841623464</v>
      </c>
      <c r="G95" s="241">
        <f t="shared" si="15"/>
        <v>0.09826850939919102</v>
      </c>
      <c r="H95" s="242">
        <f t="shared" si="16"/>
        <v>0.9017314906008089</v>
      </c>
      <c r="I95" s="157"/>
    </row>
    <row r="96" spans="1:9" ht="15.75">
      <c r="A96" s="164"/>
      <c r="B96" s="165">
        <f>DATE(14,6,1)</f>
        <v>5266</v>
      </c>
      <c r="C96" s="284">
        <v>41567231.12</v>
      </c>
      <c r="D96" s="226">
        <v>3990914.54</v>
      </c>
      <c r="E96" s="226">
        <v>3966336.75</v>
      </c>
      <c r="F96" s="166">
        <f t="shared" si="17"/>
        <v>0.006196596897628533</v>
      </c>
      <c r="G96" s="241">
        <f t="shared" si="15"/>
        <v>0.09601107488922395</v>
      </c>
      <c r="H96" s="242">
        <f t="shared" si="16"/>
        <v>0.903988925110776</v>
      </c>
      <c r="I96" s="157"/>
    </row>
    <row r="97" spans="1:9" ht="15.75" thickBot="1">
      <c r="A97" s="167"/>
      <c r="B97" s="165"/>
      <c r="C97" s="226"/>
      <c r="D97" s="226"/>
      <c r="E97" s="226"/>
      <c r="F97" s="166"/>
      <c r="G97" s="241"/>
      <c r="H97" s="242"/>
      <c r="I97" s="157"/>
    </row>
    <row r="98" spans="1:9" ht="17.25" thickBot="1" thickTop="1">
      <c r="A98" s="174" t="s">
        <v>14</v>
      </c>
      <c r="B98" s="175"/>
      <c r="C98" s="228">
        <f>SUM(C85:C97)</f>
        <v>542141335.2199999</v>
      </c>
      <c r="D98" s="230">
        <f>SUM(D85:D97)</f>
        <v>50446439.48</v>
      </c>
      <c r="E98" s="273">
        <f>SUM(E85:E97)</f>
        <v>39079278.050000004</v>
      </c>
      <c r="F98" s="274">
        <f>(+D98-E98)/E98</f>
        <v>0.290874396795567</v>
      </c>
      <c r="G98" s="249">
        <f>D98/C98</f>
        <v>0.09305034721163427</v>
      </c>
      <c r="H98" s="272">
        <f>1-G98</f>
        <v>0.9069496527883657</v>
      </c>
      <c r="I98" s="157"/>
    </row>
    <row r="99" spans="1:9" ht="15.75" thickTop="1">
      <c r="A99" s="167"/>
      <c r="B99" s="168"/>
      <c r="C99" s="226"/>
      <c r="D99" s="226"/>
      <c r="E99" s="226"/>
      <c r="F99" s="166"/>
      <c r="G99" s="241"/>
      <c r="H99" s="242"/>
      <c r="I99" s="157"/>
    </row>
    <row r="100" spans="1:9" ht="15.75">
      <c r="A100" s="164" t="s">
        <v>17</v>
      </c>
      <c r="B100" s="165">
        <f>DATE(13,7,1)</f>
        <v>4931</v>
      </c>
      <c r="C100" s="226">
        <v>62332097.08</v>
      </c>
      <c r="D100" s="226">
        <v>6162329.23</v>
      </c>
      <c r="E100" s="226">
        <v>6324180.84</v>
      </c>
      <c r="F100" s="166">
        <f aca="true" t="shared" si="18" ref="F100:F111">(+D100-E100)/E100</f>
        <v>-0.02559250187412405</v>
      </c>
      <c r="G100" s="241">
        <f aca="true" t="shared" si="19" ref="G100:G111">D100/C100</f>
        <v>0.09886285747920484</v>
      </c>
      <c r="H100" s="242">
        <f aca="true" t="shared" si="20" ref="H100:H111">1-G100</f>
        <v>0.9011371425207951</v>
      </c>
      <c r="I100" s="157"/>
    </row>
    <row r="101" spans="1:9" ht="15.75">
      <c r="A101" s="164"/>
      <c r="B101" s="165">
        <f>DATE(13,8,1)</f>
        <v>4962</v>
      </c>
      <c r="C101" s="226">
        <v>62976730.04</v>
      </c>
      <c r="D101" s="226">
        <v>6150694.94</v>
      </c>
      <c r="E101" s="226">
        <v>6447033.37</v>
      </c>
      <c r="F101" s="166">
        <f t="shared" si="18"/>
        <v>-0.04596508393751337</v>
      </c>
      <c r="G101" s="241">
        <f t="shared" si="19"/>
        <v>0.09766615281697469</v>
      </c>
      <c r="H101" s="242">
        <f t="shared" si="20"/>
        <v>0.9023338471830253</v>
      </c>
      <c r="I101" s="157"/>
    </row>
    <row r="102" spans="1:9" ht="15.75">
      <c r="A102" s="164"/>
      <c r="B102" s="165">
        <f>DATE(13,9,1)</f>
        <v>4993</v>
      </c>
      <c r="C102" s="226">
        <v>59419520.33</v>
      </c>
      <c r="D102" s="226">
        <v>5751750.32</v>
      </c>
      <c r="E102" s="226">
        <v>6027376.39</v>
      </c>
      <c r="F102" s="166">
        <f t="shared" si="18"/>
        <v>-0.04572902904442631</v>
      </c>
      <c r="G102" s="241">
        <f t="shared" si="19"/>
        <v>0.0967990028875415</v>
      </c>
      <c r="H102" s="242">
        <f t="shared" si="20"/>
        <v>0.9032009971124585</v>
      </c>
      <c r="I102" s="157"/>
    </row>
    <row r="103" spans="1:9" ht="15.75">
      <c r="A103" s="164"/>
      <c r="B103" s="165">
        <f>DATE(13,10,1)</f>
        <v>5023</v>
      </c>
      <c r="C103" s="226">
        <v>59168598.68</v>
      </c>
      <c r="D103" s="226">
        <v>5712648.26</v>
      </c>
      <c r="E103" s="226">
        <v>6038548.87</v>
      </c>
      <c r="F103" s="166">
        <f t="shared" si="18"/>
        <v>-0.05397002111204249</v>
      </c>
      <c r="G103" s="241">
        <f t="shared" si="19"/>
        <v>0.09654864890236065</v>
      </c>
      <c r="H103" s="242">
        <f t="shared" si="20"/>
        <v>0.9034513510976394</v>
      </c>
      <c r="I103" s="157"/>
    </row>
    <row r="104" spans="1:9" ht="15.75">
      <c r="A104" s="164"/>
      <c r="B104" s="165">
        <f>DATE(13,11,1)</f>
        <v>5054</v>
      </c>
      <c r="C104" s="226">
        <v>58124971.14</v>
      </c>
      <c r="D104" s="226">
        <v>5648709.01</v>
      </c>
      <c r="E104" s="226">
        <v>5972750.94</v>
      </c>
      <c r="F104" s="166">
        <f t="shared" si="18"/>
        <v>-0.05425338060387976</v>
      </c>
      <c r="G104" s="241">
        <f t="shared" si="19"/>
        <v>0.09718213874712299</v>
      </c>
      <c r="H104" s="242">
        <f t="shared" si="20"/>
        <v>0.902817861252877</v>
      </c>
      <c r="I104" s="157"/>
    </row>
    <row r="105" spans="1:9" ht="15.75">
      <c r="A105" s="164"/>
      <c r="B105" s="165">
        <f>DATE(13,12,1)</f>
        <v>5084</v>
      </c>
      <c r="C105" s="226">
        <v>53836419.1</v>
      </c>
      <c r="D105" s="226">
        <v>5277704.11</v>
      </c>
      <c r="E105" s="226">
        <v>6015768.75</v>
      </c>
      <c r="F105" s="166">
        <f t="shared" si="18"/>
        <v>-0.12268833305801519</v>
      </c>
      <c r="G105" s="241">
        <f t="shared" si="19"/>
        <v>0.09803222796443384</v>
      </c>
      <c r="H105" s="242">
        <f t="shared" si="20"/>
        <v>0.9019677720355661</v>
      </c>
      <c r="I105" s="157"/>
    </row>
    <row r="106" spans="1:9" ht="15.75">
      <c r="A106" s="164"/>
      <c r="B106" s="165">
        <f>DATE(14,1,1)</f>
        <v>5115</v>
      </c>
      <c r="C106" s="226">
        <v>54556194.12</v>
      </c>
      <c r="D106" s="226">
        <v>5060424.44</v>
      </c>
      <c r="E106" s="226">
        <v>5707676.34</v>
      </c>
      <c r="F106" s="166">
        <f t="shared" si="18"/>
        <v>-0.11340024581702182</v>
      </c>
      <c r="G106" s="241">
        <f t="shared" si="19"/>
        <v>0.09275618509731925</v>
      </c>
      <c r="H106" s="242">
        <f t="shared" si="20"/>
        <v>0.9072438149026807</v>
      </c>
      <c r="I106" s="157"/>
    </row>
    <row r="107" spans="1:9" ht="15.75">
      <c r="A107" s="164"/>
      <c r="B107" s="165">
        <f>DATE(14,2,1)</f>
        <v>5146</v>
      </c>
      <c r="C107" s="226">
        <v>60014805.25</v>
      </c>
      <c r="D107" s="226">
        <v>5952357.54</v>
      </c>
      <c r="E107" s="226">
        <v>6154938.17</v>
      </c>
      <c r="F107" s="166">
        <f t="shared" si="18"/>
        <v>-0.0329135117859356</v>
      </c>
      <c r="G107" s="241">
        <f t="shared" si="19"/>
        <v>0.09918148555518307</v>
      </c>
      <c r="H107" s="242">
        <f t="shared" si="20"/>
        <v>0.900818514444817</v>
      </c>
      <c r="I107" s="157"/>
    </row>
    <row r="108" spans="1:9" ht="15.75">
      <c r="A108" s="164"/>
      <c r="B108" s="165">
        <f>DATE(14,3,1)</f>
        <v>5174</v>
      </c>
      <c r="C108" s="226">
        <v>68223092.4</v>
      </c>
      <c r="D108" s="226">
        <v>6992650.03</v>
      </c>
      <c r="E108" s="226">
        <v>6998073.56</v>
      </c>
      <c r="F108" s="166">
        <f t="shared" si="18"/>
        <v>-0.000775003285332618</v>
      </c>
      <c r="G108" s="241">
        <f t="shared" si="19"/>
        <v>0.10249682012362137</v>
      </c>
      <c r="H108" s="242">
        <f t="shared" si="20"/>
        <v>0.8975031798763786</v>
      </c>
      <c r="I108" s="157"/>
    </row>
    <row r="109" spans="1:9" ht="15.75">
      <c r="A109" s="164"/>
      <c r="B109" s="165">
        <f>DATE(14,4,1)</f>
        <v>5205</v>
      </c>
      <c r="C109" s="226">
        <v>60769908.32</v>
      </c>
      <c r="D109" s="226">
        <v>5941264.71</v>
      </c>
      <c r="E109" s="226">
        <v>6405347.58</v>
      </c>
      <c r="F109" s="166">
        <f t="shared" si="18"/>
        <v>-0.07245241014696038</v>
      </c>
      <c r="G109" s="241">
        <f t="shared" si="19"/>
        <v>0.09776655707154767</v>
      </c>
      <c r="H109" s="242">
        <f t="shared" si="20"/>
        <v>0.9022334429284523</v>
      </c>
      <c r="I109" s="157"/>
    </row>
    <row r="110" spans="1:9" ht="15.75">
      <c r="A110" s="164"/>
      <c r="B110" s="165">
        <f>DATE(14,5,1)</f>
        <v>5235</v>
      </c>
      <c r="C110" s="226">
        <v>65248885.6</v>
      </c>
      <c r="D110" s="226">
        <v>6161383.11</v>
      </c>
      <c r="E110" s="226">
        <v>6770080.44</v>
      </c>
      <c r="F110" s="166">
        <f t="shared" si="18"/>
        <v>-0.08990991102610887</v>
      </c>
      <c r="G110" s="241">
        <f t="shared" si="19"/>
        <v>0.0944289401013157</v>
      </c>
      <c r="H110" s="242">
        <f t="shared" si="20"/>
        <v>0.9055710598986844</v>
      </c>
      <c r="I110" s="157"/>
    </row>
    <row r="111" spans="1:9" ht="15.75">
      <c r="A111" s="164"/>
      <c r="B111" s="165">
        <f>DATE(14,6,1)</f>
        <v>5266</v>
      </c>
      <c r="C111" s="226">
        <v>60652030.09</v>
      </c>
      <c r="D111" s="226">
        <v>5867722.18</v>
      </c>
      <c r="E111" s="226">
        <v>6286166.32</v>
      </c>
      <c r="F111" s="166">
        <f t="shared" si="18"/>
        <v>-0.06656587158196613</v>
      </c>
      <c r="G111" s="241">
        <f t="shared" si="19"/>
        <v>0.09674403595878055</v>
      </c>
      <c r="H111" s="242">
        <f t="shared" si="20"/>
        <v>0.9032559640412194</v>
      </c>
      <c r="I111" s="157"/>
    </row>
    <row r="112" spans="1:9" ht="15.75" thickBot="1">
      <c r="A112" s="167"/>
      <c r="B112" s="165"/>
      <c r="C112" s="226"/>
      <c r="D112" s="226"/>
      <c r="E112" s="226"/>
      <c r="F112" s="166"/>
      <c r="G112" s="241"/>
      <c r="H112" s="242"/>
      <c r="I112" s="157"/>
    </row>
    <row r="113" spans="1:9" ht="17.25" thickBot="1" thickTop="1">
      <c r="A113" s="174" t="s">
        <v>14</v>
      </c>
      <c r="B113" s="175"/>
      <c r="C113" s="228">
        <f>SUM(C100:C112)</f>
        <v>725323252.1500001</v>
      </c>
      <c r="D113" s="230">
        <f>SUM(D100:D112)</f>
        <v>70679637.88</v>
      </c>
      <c r="E113" s="273">
        <f>SUM(E100:E112)</f>
        <v>75147941.57</v>
      </c>
      <c r="F113" s="274">
        <f>(+D113-E113)/E113</f>
        <v>-0.059460094270683266</v>
      </c>
      <c r="G113" s="249">
        <f>D113/C113</f>
        <v>0.0974457080625662</v>
      </c>
      <c r="H113" s="272">
        <f>1-G113</f>
        <v>0.9025542919374339</v>
      </c>
      <c r="I113" s="157"/>
    </row>
    <row r="114" spans="1:9" ht="15.75" thickTop="1">
      <c r="A114" s="167"/>
      <c r="B114" s="168"/>
      <c r="C114" s="226"/>
      <c r="D114" s="226"/>
      <c r="E114" s="226"/>
      <c r="F114" s="166"/>
      <c r="G114" s="241"/>
      <c r="H114" s="242"/>
      <c r="I114" s="157"/>
    </row>
    <row r="115" spans="1:9" ht="15.75">
      <c r="A115" s="164" t="s">
        <v>57</v>
      </c>
      <c r="B115" s="165">
        <f>DATE(13,7,1)</f>
        <v>4931</v>
      </c>
      <c r="C115" s="226">
        <v>98729191.73</v>
      </c>
      <c r="D115" s="226">
        <v>9316238.5</v>
      </c>
      <c r="E115" s="226">
        <v>11491646.66</v>
      </c>
      <c r="F115" s="166">
        <f aca="true" t="shared" si="21" ref="F115:F126">(+D115-E115)/E115</f>
        <v>-0.18930343269012417</v>
      </c>
      <c r="G115" s="241">
        <f aca="true" t="shared" si="22" ref="G115:G126">D115/C115</f>
        <v>0.09436153924441734</v>
      </c>
      <c r="H115" s="242">
        <f aca="true" t="shared" si="23" ref="H115:H126">1-G115</f>
        <v>0.9056384607555826</v>
      </c>
      <c r="I115" s="157"/>
    </row>
    <row r="116" spans="1:9" ht="15.75">
      <c r="A116" s="164"/>
      <c r="B116" s="165">
        <f>DATE(13,8,1)</f>
        <v>4962</v>
      </c>
      <c r="C116" s="226">
        <v>103454542.1</v>
      </c>
      <c r="D116" s="226">
        <v>9960399.32</v>
      </c>
      <c r="E116" s="226">
        <v>11183918.93</v>
      </c>
      <c r="F116" s="166">
        <f t="shared" si="21"/>
        <v>-0.10939989977198444</v>
      </c>
      <c r="G116" s="241">
        <f t="shared" si="22"/>
        <v>0.09627802818335611</v>
      </c>
      <c r="H116" s="242">
        <f t="shared" si="23"/>
        <v>0.9037219718166439</v>
      </c>
      <c r="I116" s="157"/>
    </row>
    <row r="117" spans="1:9" ht="15.75">
      <c r="A117" s="164"/>
      <c r="B117" s="165">
        <f>DATE(13,9,1)</f>
        <v>4993</v>
      </c>
      <c r="C117" s="226">
        <v>96452544.58</v>
      </c>
      <c r="D117" s="226">
        <v>9113118.4</v>
      </c>
      <c r="E117" s="226">
        <v>10946827.14</v>
      </c>
      <c r="F117" s="166">
        <f t="shared" si="21"/>
        <v>-0.16751052305371472</v>
      </c>
      <c r="G117" s="241">
        <f t="shared" si="22"/>
        <v>0.09448292359401018</v>
      </c>
      <c r="H117" s="242">
        <f t="shared" si="23"/>
        <v>0.9055170764059898</v>
      </c>
      <c r="I117" s="157"/>
    </row>
    <row r="118" spans="1:9" ht="15.75">
      <c r="A118" s="164"/>
      <c r="B118" s="165">
        <f>DATE(13,10,1)</f>
        <v>5023</v>
      </c>
      <c r="C118" s="226">
        <v>98519368.58</v>
      </c>
      <c r="D118" s="226">
        <v>8872089.6</v>
      </c>
      <c r="E118" s="226">
        <v>10198754.72</v>
      </c>
      <c r="F118" s="166">
        <f t="shared" si="21"/>
        <v>-0.13008108895867249</v>
      </c>
      <c r="G118" s="241">
        <f t="shared" si="22"/>
        <v>0.09005426778385875</v>
      </c>
      <c r="H118" s="242">
        <f t="shared" si="23"/>
        <v>0.9099457322161413</v>
      </c>
      <c r="I118" s="157"/>
    </row>
    <row r="119" spans="1:9" ht="15.75">
      <c r="A119" s="164"/>
      <c r="B119" s="165">
        <f>DATE(13,11,1)</f>
        <v>5054</v>
      </c>
      <c r="C119" s="226">
        <v>102539394.31</v>
      </c>
      <c r="D119" s="226">
        <v>9320105.3</v>
      </c>
      <c r="E119" s="226">
        <v>10388200.58</v>
      </c>
      <c r="F119" s="166">
        <f t="shared" si="21"/>
        <v>-0.10281812252031038</v>
      </c>
      <c r="G119" s="241">
        <f t="shared" si="22"/>
        <v>0.09089292327808368</v>
      </c>
      <c r="H119" s="242">
        <f t="shared" si="23"/>
        <v>0.9091070767219163</v>
      </c>
      <c r="I119" s="157"/>
    </row>
    <row r="120" spans="1:9" ht="15.75">
      <c r="A120" s="164"/>
      <c r="B120" s="165">
        <f>DATE(13,12,1)</f>
        <v>5084</v>
      </c>
      <c r="C120" s="226">
        <v>98744035.27</v>
      </c>
      <c r="D120" s="226">
        <v>9209982.96</v>
      </c>
      <c r="E120" s="226">
        <v>10621457.65</v>
      </c>
      <c r="F120" s="166">
        <f t="shared" si="21"/>
        <v>-0.132888981579661</v>
      </c>
      <c r="G120" s="241">
        <f t="shared" si="22"/>
        <v>0.09327128403064301</v>
      </c>
      <c r="H120" s="242">
        <f t="shared" si="23"/>
        <v>0.906728715969357</v>
      </c>
      <c r="I120" s="157"/>
    </row>
    <row r="121" spans="1:9" ht="15.75">
      <c r="A121" s="164"/>
      <c r="B121" s="165">
        <f>DATE(14,1,1)</f>
        <v>5115</v>
      </c>
      <c r="C121" s="226">
        <v>89900510.23</v>
      </c>
      <c r="D121" s="226">
        <v>8053754.74</v>
      </c>
      <c r="E121" s="226">
        <v>9605574.58</v>
      </c>
      <c r="F121" s="166">
        <f t="shared" si="21"/>
        <v>-0.16155408789715522</v>
      </c>
      <c r="G121" s="241">
        <f t="shared" si="22"/>
        <v>0.08958519500496054</v>
      </c>
      <c r="H121" s="242">
        <f t="shared" si="23"/>
        <v>0.9104148049950395</v>
      </c>
      <c r="I121" s="157"/>
    </row>
    <row r="122" spans="1:9" ht="15.75">
      <c r="A122" s="164"/>
      <c r="B122" s="165">
        <f>DATE(14,2,1)</f>
        <v>5146</v>
      </c>
      <c r="C122" s="226">
        <v>105511171.12</v>
      </c>
      <c r="D122" s="226">
        <v>10021868.85</v>
      </c>
      <c r="E122" s="226">
        <v>11367793.74</v>
      </c>
      <c r="F122" s="166">
        <f t="shared" si="21"/>
        <v>-0.11839807448863869</v>
      </c>
      <c r="G122" s="241">
        <f t="shared" si="22"/>
        <v>0.09498395993161637</v>
      </c>
      <c r="H122" s="242">
        <f t="shared" si="23"/>
        <v>0.9050160400683837</v>
      </c>
      <c r="I122" s="157"/>
    </row>
    <row r="123" spans="1:9" ht="15.75">
      <c r="A123" s="164"/>
      <c r="B123" s="165">
        <f>DATE(14,3,1)</f>
        <v>5174</v>
      </c>
      <c r="C123" s="226">
        <v>109590523.66</v>
      </c>
      <c r="D123" s="226">
        <v>9955259.64</v>
      </c>
      <c r="E123" s="226">
        <v>12151941.26</v>
      </c>
      <c r="F123" s="166">
        <f t="shared" si="21"/>
        <v>-0.18076795904459458</v>
      </c>
      <c r="G123" s="241">
        <f t="shared" si="22"/>
        <v>0.09084051528840008</v>
      </c>
      <c r="H123" s="242">
        <f t="shared" si="23"/>
        <v>0.9091594847115999</v>
      </c>
      <c r="I123" s="157"/>
    </row>
    <row r="124" spans="1:9" ht="15.75">
      <c r="A124" s="164"/>
      <c r="B124" s="165">
        <f>DATE(14,4,1)</f>
        <v>5205</v>
      </c>
      <c r="C124" s="226">
        <v>101850198.59</v>
      </c>
      <c r="D124" s="226">
        <v>9186049.33</v>
      </c>
      <c r="E124" s="226">
        <v>10142254.6</v>
      </c>
      <c r="F124" s="166">
        <f t="shared" si="21"/>
        <v>-0.0942793597392043</v>
      </c>
      <c r="G124" s="241">
        <f t="shared" si="22"/>
        <v>0.09019176650777702</v>
      </c>
      <c r="H124" s="242">
        <f t="shared" si="23"/>
        <v>0.909808233492223</v>
      </c>
      <c r="I124" s="157"/>
    </row>
    <row r="125" spans="1:9" ht="15.75">
      <c r="A125" s="164"/>
      <c r="B125" s="165">
        <f>DATE(14,5,1)</f>
        <v>5235</v>
      </c>
      <c r="C125" s="226">
        <v>127716095</v>
      </c>
      <c r="D125" s="226">
        <v>11521542.48</v>
      </c>
      <c r="E125" s="226">
        <v>10687132.81</v>
      </c>
      <c r="F125" s="166">
        <f t="shared" si="21"/>
        <v>0.07807610187264061</v>
      </c>
      <c r="G125" s="241">
        <f t="shared" si="22"/>
        <v>0.0902121418604288</v>
      </c>
      <c r="H125" s="242">
        <f t="shared" si="23"/>
        <v>0.9097878581395712</v>
      </c>
      <c r="I125" s="157"/>
    </row>
    <row r="126" spans="1:9" ht="15.75">
      <c r="A126" s="164"/>
      <c r="B126" s="165">
        <f>DATE(14,6,1)</f>
        <v>5266</v>
      </c>
      <c r="C126" s="226">
        <v>108594642.34</v>
      </c>
      <c r="D126" s="226">
        <v>10074385.24</v>
      </c>
      <c r="E126" s="226">
        <v>10211366.92</v>
      </c>
      <c r="F126" s="166">
        <f t="shared" si="21"/>
        <v>-0.013414627157477533</v>
      </c>
      <c r="G126" s="241">
        <f t="shared" si="22"/>
        <v>0.09277055500084444</v>
      </c>
      <c r="H126" s="242">
        <f t="shared" si="23"/>
        <v>0.9072294449991556</v>
      </c>
      <c r="I126" s="157"/>
    </row>
    <row r="127" spans="1:9" ht="15.75" thickBot="1">
      <c r="A127" s="167"/>
      <c r="B127" s="165"/>
      <c r="C127" s="226"/>
      <c r="D127" s="226"/>
      <c r="E127" s="226"/>
      <c r="F127" s="166"/>
      <c r="G127" s="241"/>
      <c r="H127" s="242"/>
      <c r="I127" s="157"/>
    </row>
    <row r="128" spans="1:9" ht="17.25" thickBot="1" thickTop="1">
      <c r="A128" s="174" t="s">
        <v>14</v>
      </c>
      <c r="B128" s="175"/>
      <c r="C128" s="228">
        <f>SUM(C115:C127)</f>
        <v>1241602217.51</v>
      </c>
      <c r="D128" s="230">
        <f>SUM(D115:D127)</f>
        <v>114604794.36</v>
      </c>
      <c r="E128" s="273">
        <f>SUM(E115:E127)</f>
        <v>128996869.59</v>
      </c>
      <c r="F128" s="176">
        <f>(+D128-E128)/E128</f>
        <v>-0.1115691820719632</v>
      </c>
      <c r="G128" s="249">
        <f>D128/C128</f>
        <v>0.09230395431303018</v>
      </c>
      <c r="H128" s="272">
        <f>1-G128</f>
        <v>0.9076960456869698</v>
      </c>
      <c r="I128" s="157"/>
    </row>
    <row r="129" spans="1:9" ht="15.75" thickTop="1">
      <c r="A129" s="167"/>
      <c r="B129" s="179"/>
      <c r="C129" s="229"/>
      <c r="D129" s="229"/>
      <c r="E129" s="229"/>
      <c r="F129" s="180"/>
      <c r="G129" s="247"/>
      <c r="H129" s="248"/>
      <c r="I129" s="157"/>
    </row>
    <row r="130" spans="1:9" ht="15.75">
      <c r="A130" s="164" t="s">
        <v>18</v>
      </c>
      <c r="B130" s="165">
        <f>DATE(13,7,1)</f>
        <v>4931</v>
      </c>
      <c r="C130" s="226">
        <v>165775231.8</v>
      </c>
      <c r="D130" s="226">
        <v>15123973.77</v>
      </c>
      <c r="E130" s="226">
        <v>16723208.79</v>
      </c>
      <c r="F130" s="166">
        <f aca="true" t="shared" si="24" ref="F130:F141">(+D130-E130)/E130</f>
        <v>-0.09562967490762278</v>
      </c>
      <c r="G130" s="241">
        <f aca="true" t="shared" si="25" ref="G130:G141">D130/C130</f>
        <v>0.09123180589634983</v>
      </c>
      <c r="H130" s="242">
        <f aca="true" t="shared" si="26" ref="H130:H141">1-G130</f>
        <v>0.9087681941036502</v>
      </c>
      <c r="I130" s="157"/>
    </row>
    <row r="131" spans="1:9" ht="15.75">
      <c r="A131" s="164"/>
      <c r="B131" s="165">
        <f>DATE(13,8,1)</f>
        <v>4962</v>
      </c>
      <c r="C131" s="226">
        <v>181572635.48</v>
      </c>
      <c r="D131" s="226">
        <v>16093372.8</v>
      </c>
      <c r="E131" s="226">
        <v>16065508.68</v>
      </c>
      <c r="F131" s="166">
        <f t="shared" si="24"/>
        <v>0.0017344063331582629</v>
      </c>
      <c r="G131" s="241">
        <f t="shared" si="25"/>
        <v>0.08863325003492978</v>
      </c>
      <c r="H131" s="242">
        <f t="shared" si="26"/>
        <v>0.9113667499650702</v>
      </c>
      <c r="I131" s="157"/>
    </row>
    <row r="132" spans="1:9" ht="15.75">
      <c r="A132" s="164"/>
      <c r="B132" s="165">
        <f>DATE(13,9,1)</f>
        <v>4993</v>
      </c>
      <c r="C132" s="226">
        <v>158470414.28</v>
      </c>
      <c r="D132" s="226">
        <v>14433081.53</v>
      </c>
      <c r="E132" s="226">
        <v>15233709.1</v>
      </c>
      <c r="F132" s="166">
        <f t="shared" si="24"/>
        <v>-0.052556312106550616</v>
      </c>
      <c r="G132" s="241">
        <f t="shared" si="25"/>
        <v>0.09107745187375046</v>
      </c>
      <c r="H132" s="242">
        <f t="shared" si="26"/>
        <v>0.9089225481262495</v>
      </c>
      <c r="I132" s="157"/>
    </row>
    <row r="133" spans="1:9" ht="15.75">
      <c r="A133" s="164"/>
      <c r="B133" s="165">
        <f>DATE(13,10,1)</f>
        <v>5023</v>
      </c>
      <c r="C133" s="226">
        <v>158313862.19</v>
      </c>
      <c r="D133" s="226">
        <v>14186944.14</v>
      </c>
      <c r="E133" s="226">
        <v>15608902.37</v>
      </c>
      <c r="F133" s="166">
        <f t="shared" si="24"/>
        <v>-0.09109918149869231</v>
      </c>
      <c r="G133" s="241">
        <f t="shared" si="25"/>
        <v>0.08961277265141554</v>
      </c>
      <c r="H133" s="242">
        <f t="shared" si="26"/>
        <v>0.9103872273485845</v>
      </c>
      <c r="I133" s="157"/>
    </row>
    <row r="134" spans="1:9" ht="15.75">
      <c r="A134" s="164"/>
      <c r="B134" s="165">
        <f>DATE(13,11,1)</f>
        <v>5054</v>
      </c>
      <c r="C134" s="226">
        <v>162491791.52</v>
      </c>
      <c r="D134" s="226">
        <v>14454416.22</v>
      </c>
      <c r="E134" s="226">
        <v>15873918.34</v>
      </c>
      <c r="F134" s="166">
        <f t="shared" si="24"/>
        <v>-0.08942354934654397</v>
      </c>
      <c r="G134" s="241">
        <f t="shared" si="25"/>
        <v>0.0889547470969997</v>
      </c>
      <c r="H134" s="242">
        <f t="shared" si="26"/>
        <v>0.9110452529030003</v>
      </c>
      <c r="I134" s="157"/>
    </row>
    <row r="135" spans="1:9" ht="15.75">
      <c r="A135" s="164"/>
      <c r="B135" s="165">
        <f>DATE(13,12,1)</f>
        <v>5084</v>
      </c>
      <c r="C135" s="226">
        <v>156511443.89</v>
      </c>
      <c r="D135" s="226">
        <v>13901758.82</v>
      </c>
      <c r="E135" s="226">
        <v>15759589.04</v>
      </c>
      <c r="F135" s="166">
        <f t="shared" si="24"/>
        <v>-0.11788570217691406</v>
      </c>
      <c r="G135" s="241">
        <f t="shared" si="25"/>
        <v>0.08882263478299064</v>
      </c>
      <c r="H135" s="242">
        <f t="shared" si="26"/>
        <v>0.9111773652170093</v>
      </c>
      <c r="I135" s="157"/>
    </row>
    <row r="136" spans="1:9" ht="15.75">
      <c r="A136" s="164"/>
      <c r="B136" s="165">
        <f>DATE(14,1,1)</f>
        <v>5115</v>
      </c>
      <c r="C136" s="226">
        <v>151396627.71</v>
      </c>
      <c r="D136" s="226">
        <v>13381962.11</v>
      </c>
      <c r="E136" s="226">
        <v>14856611.73</v>
      </c>
      <c r="F136" s="166">
        <f t="shared" si="24"/>
        <v>-0.09925881128213351</v>
      </c>
      <c r="G136" s="241">
        <f t="shared" si="25"/>
        <v>0.08839009370560832</v>
      </c>
      <c r="H136" s="242">
        <f t="shared" si="26"/>
        <v>0.9116099062943916</v>
      </c>
      <c r="I136" s="157"/>
    </row>
    <row r="137" spans="1:9" ht="15.75">
      <c r="A137" s="164"/>
      <c r="B137" s="165">
        <f>DATE(14,2,1)</f>
        <v>5146</v>
      </c>
      <c r="C137" s="226">
        <v>155297361.08</v>
      </c>
      <c r="D137" s="226">
        <v>14029700.05</v>
      </c>
      <c r="E137" s="226">
        <v>14597313.07</v>
      </c>
      <c r="F137" s="166">
        <f t="shared" si="24"/>
        <v>-0.03888476031705741</v>
      </c>
      <c r="G137" s="241">
        <f t="shared" si="25"/>
        <v>0.09034087863716325</v>
      </c>
      <c r="H137" s="242">
        <f t="shared" si="26"/>
        <v>0.9096591213628368</v>
      </c>
      <c r="I137" s="157"/>
    </row>
    <row r="138" spans="1:9" ht="15.75">
      <c r="A138" s="164"/>
      <c r="B138" s="165">
        <f>DATE(14,3,1)</f>
        <v>5174</v>
      </c>
      <c r="C138" s="226">
        <v>171228544.06</v>
      </c>
      <c r="D138" s="226">
        <v>15783990.85</v>
      </c>
      <c r="E138" s="226">
        <v>17382042.7</v>
      </c>
      <c r="F138" s="166">
        <f t="shared" si="24"/>
        <v>-0.0919369419107456</v>
      </c>
      <c r="G138" s="241">
        <f t="shared" si="25"/>
        <v>0.09218083898715596</v>
      </c>
      <c r="H138" s="242">
        <f t="shared" si="26"/>
        <v>0.9078191610128441</v>
      </c>
      <c r="I138" s="157"/>
    </row>
    <row r="139" spans="1:9" ht="15.75">
      <c r="A139" s="164"/>
      <c r="B139" s="165">
        <f>DATE(14,4,1)</f>
        <v>5205</v>
      </c>
      <c r="C139" s="226">
        <v>158905841.46</v>
      </c>
      <c r="D139" s="226">
        <v>14341335.26</v>
      </c>
      <c r="E139" s="226">
        <v>15406543.26</v>
      </c>
      <c r="F139" s="166">
        <f t="shared" si="24"/>
        <v>-0.06913997397233154</v>
      </c>
      <c r="G139" s="241">
        <f t="shared" si="25"/>
        <v>0.09025052275129873</v>
      </c>
      <c r="H139" s="242">
        <f t="shared" si="26"/>
        <v>0.9097494772487013</v>
      </c>
      <c r="I139" s="157"/>
    </row>
    <row r="140" spans="1:9" ht="15.75">
      <c r="A140" s="164"/>
      <c r="B140" s="165">
        <f>DATE(14,5,1)</f>
        <v>5235</v>
      </c>
      <c r="C140" s="226">
        <v>165996000.77</v>
      </c>
      <c r="D140" s="226">
        <v>15091884.32</v>
      </c>
      <c r="E140" s="226">
        <v>15697868.79</v>
      </c>
      <c r="F140" s="166">
        <f t="shared" si="24"/>
        <v>-0.03860297713700019</v>
      </c>
      <c r="G140" s="241">
        <f t="shared" si="25"/>
        <v>0.09091715613625502</v>
      </c>
      <c r="H140" s="242">
        <f t="shared" si="26"/>
        <v>0.9090828438637449</v>
      </c>
      <c r="I140" s="157"/>
    </row>
    <row r="141" spans="1:9" ht="15.75">
      <c r="A141" s="164"/>
      <c r="B141" s="165">
        <f>DATE(14,6,1)</f>
        <v>5266</v>
      </c>
      <c r="C141" s="226">
        <v>152761520.2</v>
      </c>
      <c r="D141" s="226">
        <v>14047014.73</v>
      </c>
      <c r="E141" s="226">
        <v>14700349.67</v>
      </c>
      <c r="F141" s="166">
        <f t="shared" si="24"/>
        <v>-0.04444349656071817</v>
      </c>
      <c r="G141" s="241">
        <f t="shared" si="25"/>
        <v>0.09195388152467471</v>
      </c>
      <c r="H141" s="242">
        <f t="shared" si="26"/>
        <v>0.9080461184753252</v>
      </c>
      <c r="I141" s="157"/>
    </row>
    <row r="142" spans="1:9" ht="15.75" customHeight="1" thickBot="1">
      <c r="A142" s="164"/>
      <c r="B142" s="165"/>
      <c r="C142" s="226"/>
      <c r="D142" s="226"/>
      <c r="E142" s="226"/>
      <c r="F142" s="166"/>
      <c r="G142" s="241"/>
      <c r="H142" s="242"/>
      <c r="I142" s="157"/>
    </row>
    <row r="143" spans="1:9" ht="17.25" thickBot="1" thickTop="1">
      <c r="A143" s="174" t="s">
        <v>14</v>
      </c>
      <c r="B143" s="181"/>
      <c r="C143" s="228">
        <f>SUM(C130:C142)</f>
        <v>1938721274.4399998</v>
      </c>
      <c r="D143" s="228">
        <f>SUM(D130:D142)</f>
        <v>174869434.59999996</v>
      </c>
      <c r="E143" s="228">
        <f>SUM(E130:E142)</f>
        <v>187905565.53999996</v>
      </c>
      <c r="F143" s="176">
        <f>(+D143-E143)/E143</f>
        <v>-0.06937597033135755</v>
      </c>
      <c r="G143" s="245">
        <f>D143/C143</f>
        <v>0.09019833686537074</v>
      </c>
      <c r="H143" s="246">
        <f>1-G143</f>
        <v>0.9098016631346293</v>
      </c>
      <c r="I143" s="157"/>
    </row>
    <row r="144" spans="1:9" ht="15.75" thickTop="1">
      <c r="A144" s="171"/>
      <c r="B144" s="172"/>
      <c r="C144" s="227"/>
      <c r="D144" s="227"/>
      <c r="E144" s="227"/>
      <c r="F144" s="173"/>
      <c r="G144" s="243"/>
      <c r="H144" s="244"/>
      <c r="I144" s="157"/>
    </row>
    <row r="145" spans="1:9" ht="15.75">
      <c r="A145" s="164" t="s">
        <v>59</v>
      </c>
      <c r="B145" s="165">
        <f>DATE(13,7,1)</f>
        <v>4931</v>
      </c>
      <c r="C145" s="226">
        <v>168023635.37</v>
      </c>
      <c r="D145" s="226">
        <v>14863761.06</v>
      </c>
      <c r="E145" s="226">
        <v>16138075.07</v>
      </c>
      <c r="F145" s="166">
        <f aca="true" t="shared" si="27" ref="F145:F156">(+D145-E145)/E145</f>
        <v>-0.07896319756058737</v>
      </c>
      <c r="G145" s="241">
        <f aca="true" t="shared" si="28" ref="G145:G156">D145/C145</f>
        <v>0.08846232273970826</v>
      </c>
      <c r="H145" s="242">
        <f aca="true" t="shared" si="29" ref="H145:H156">1-G145</f>
        <v>0.9115376772602918</v>
      </c>
      <c r="I145" s="157"/>
    </row>
    <row r="146" spans="1:9" ht="15.75">
      <c r="A146" s="164"/>
      <c r="B146" s="165">
        <f>DATE(13,8,1)</f>
        <v>4962</v>
      </c>
      <c r="C146" s="226">
        <v>178672910.07</v>
      </c>
      <c r="D146" s="226">
        <v>16316843.81</v>
      </c>
      <c r="E146" s="226">
        <v>16301867.17</v>
      </c>
      <c r="F146" s="166">
        <f t="shared" si="27"/>
        <v>0.000918707031766386</v>
      </c>
      <c r="G146" s="241">
        <f t="shared" si="28"/>
        <v>0.09132242713015326</v>
      </c>
      <c r="H146" s="242">
        <f t="shared" si="29"/>
        <v>0.9086775728698467</v>
      </c>
      <c r="I146" s="157"/>
    </row>
    <row r="147" spans="1:9" ht="15.75">
      <c r="A147" s="164"/>
      <c r="B147" s="165">
        <f>DATE(13,9,1)</f>
        <v>4993</v>
      </c>
      <c r="C147" s="226">
        <v>175135448.74</v>
      </c>
      <c r="D147" s="226">
        <v>15465402.22</v>
      </c>
      <c r="E147" s="226">
        <v>15059686.71</v>
      </c>
      <c r="F147" s="166">
        <f t="shared" si="27"/>
        <v>0.02694050134061519</v>
      </c>
      <c r="G147" s="241">
        <f t="shared" si="28"/>
        <v>0.08830537924369268</v>
      </c>
      <c r="H147" s="242">
        <f t="shared" si="29"/>
        <v>0.9116946207563074</v>
      </c>
      <c r="I147" s="157"/>
    </row>
    <row r="148" spans="1:9" ht="15.75">
      <c r="A148" s="164"/>
      <c r="B148" s="165">
        <f>DATE(13,10,1)</f>
        <v>5023</v>
      </c>
      <c r="C148" s="226">
        <v>171901639.98</v>
      </c>
      <c r="D148" s="226">
        <v>15048636.17</v>
      </c>
      <c r="E148" s="226">
        <v>14033296.77</v>
      </c>
      <c r="F148" s="166">
        <f t="shared" si="27"/>
        <v>0.0723521647579324</v>
      </c>
      <c r="G148" s="241">
        <f t="shared" si="28"/>
        <v>0.08754213265068816</v>
      </c>
      <c r="H148" s="242">
        <f t="shared" si="29"/>
        <v>0.9124578673493118</v>
      </c>
      <c r="I148" s="157"/>
    </row>
    <row r="149" spans="1:9" ht="15.75">
      <c r="A149" s="164"/>
      <c r="B149" s="165">
        <f>DATE(13,11,1)</f>
        <v>5054</v>
      </c>
      <c r="C149" s="226">
        <v>176207189.75</v>
      </c>
      <c r="D149" s="226">
        <v>15888829.39</v>
      </c>
      <c r="E149" s="226">
        <v>14754518.63</v>
      </c>
      <c r="F149" s="166">
        <f t="shared" si="27"/>
        <v>0.07687887273351186</v>
      </c>
      <c r="G149" s="241">
        <f t="shared" si="28"/>
        <v>0.09017128876831203</v>
      </c>
      <c r="H149" s="242">
        <f t="shared" si="29"/>
        <v>0.909828711231688</v>
      </c>
      <c r="I149" s="157"/>
    </row>
    <row r="150" spans="1:9" ht="15.75">
      <c r="A150" s="164"/>
      <c r="B150" s="165">
        <f>DATE(13,12,1)</f>
        <v>5084</v>
      </c>
      <c r="C150" s="226">
        <v>167739226.67</v>
      </c>
      <c r="D150" s="226">
        <v>14692024.87</v>
      </c>
      <c r="E150" s="226">
        <v>15778801.16</v>
      </c>
      <c r="F150" s="166">
        <f t="shared" si="27"/>
        <v>-0.06887571995995677</v>
      </c>
      <c r="G150" s="241">
        <f t="shared" si="28"/>
        <v>0.0875884857803965</v>
      </c>
      <c r="H150" s="242">
        <f t="shared" si="29"/>
        <v>0.9124115142196035</v>
      </c>
      <c r="I150" s="157"/>
    </row>
    <row r="151" spans="1:9" ht="15.75">
      <c r="A151" s="164"/>
      <c r="B151" s="165">
        <f>DATE(14,1,1)</f>
        <v>5115</v>
      </c>
      <c r="C151" s="226">
        <v>157409422.36</v>
      </c>
      <c r="D151" s="226">
        <v>13981469.01</v>
      </c>
      <c r="E151" s="226">
        <v>14136131.57</v>
      </c>
      <c r="F151" s="166">
        <f t="shared" si="27"/>
        <v>-0.010940939480800299</v>
      </c>
      <c r="G151" s="241">
        <f t="shared" si="28"/>
        <v>0.08882231317782213</v>
      </c>
      <c r="H151" s="242">
        <f t="shared" si="29"/>
        <v>0.9111776868221779</v>
      </c>
      <c r="I151" s="157"/>
    </row>
    <row r="152" spans="1:9" ht="15.75">
      <c r="A152" s="164"/>
      <c r="B152" s="165">
        <f>DATE(14,2,1)</f>
        <v>5146</v>
      </c>
      <c r="C152" s="226">
        <v>171194309.52</v>
      </c>
      <c r="D152" s="226">
        <v>14936500.92</v>
      </c>
      <c r="E152" s="226">
        <v>15205957.85</v>
      </c>
      <c r="F152" s="166">
        <f t="shared" si="27"/>
        <v>-0.017720483816808668</v>
      </c>
      <c r="G152" s="241">
        <f t="shared" si="28"/>
        <v>0.0872488166334467</v>
      </c>
      <c r="H152" s="242">
        <f t="shared" si="29"/>
        <v>0.9127511833665533</v>
      </c>
      <c r="I152" s="157"/>
    </row>
    <row r="153" spans="1:9" ht="15.75">
      <c r="A153" s="164"/>
      <c r="B153" s="165">
        <f>DATE(14,3,1)</f>
        <v>5174</v>
      </c>
      <c r="C153" s="226">
        <v>195863127.54</v>
      </c>
      <c r="D153" s="226">
        <v>17274804</v>
      </c>
      <c r="E153" s="226">
        <v>16993277.14</v>
      </c>
      <c r="F153" s="166">
        <f t="shared" si="27"/>
        <v>0.01656695513647107</v>
      </c>
      <c r="G153" s="241">
        <f t="shared" si="28"/>
        <v>0.088198346554392</v>
      </c>
      <c r="H153" s="242">
        <f t="shared" si="29"/>
        <v>0.911801653445608</v>
      </c>
      <c r="I153" s="157"/>
    </row>
    <row r="154" spans="1:9" ht="15.75">
      <c r="A154" s="164"/>
      <c r="B154" s="165">
        <f>DATE(14,4,1)</f>
        <v>5205</v>
      </c>
      <c r="C154" s="226">
        <v>174485887.26</v>
      </c>
      <c r="D154" s="226">
        <v>15649565.29</v>
      </c>
      <c r="E154" s="226">
        <v>15110095.62</v>
      </c>
      <c r="F154" s="166">
        <f t="shared" si="27"/>
        <v>0.035702598022341304</v>
      </c>
      <c r="G154" s="241">
        <f t="shared" si="28"/>
        <v>0.08968957625025976</v>
      </c>
      <c r="H154" s="242">
        <f t="shared" si="29"/>
        <v>0.9103104237497402</v>
      </c>
      <c r="I154" s="157"/>
    </row>
    <row r="155" spans="1:9" ht="15.75">
      <c r="A155" s="164"/>
      <c r="B155" s="165">
        <f>DATE(14,5,1)</f>
        <v>5235</v>
      </c>
      <c r="C155" s="226">
        <v>177354600.3</v>
      </c>
      <c r="D155" s="226">
        <v>16223500.11</v>
      </c>
      <c r="E155" s="226">
        <v>15747682.11</v>
      </c>
      <c r="F155" s="166">
        <f t="shared" si="27"/>
        <v>0.030215113352958078</v>
      </c>
      <c r="G155" s="241">
        <f t="shared" si="28"/>
        <v>0.09147493260709065</v>
      </c>
      <c r="H155" s="242">
        <f t="shared" si="29"/>
        <v>0.9085250673929094</v>
      </c>
      <c r="I155" s="157"/>
    </row>
    <row r="156" spans="1:9" ht="15.75">
      <c r="A156" s="164"/>
      <c r="B156" s="165">
        <f>DATE(14,6,1)</f>
        <v>5266</v>
      </c>
      <c r="C156" s="226">
        <v>163103690.24</v>
      </c>
      <c r="D156" s="226">
        <v>14436390.47</v>
      </c>
      <c r="E156" s="226">
        <v>14847467.02</v>
      </c>
      <c r="F156" s="166">
        <f t="shared" si="27"/>
        <v>-0.027686645098875518</v>
      </c>
      <c r="G156" s="241">
        <f t="shared" si="28"/>
        <v>0.08851050793981104</v>
      </c>
      <c r="H156" s="242">
        <f t="shared" si="29"/>
        <v>0.9114894920601889</v>
      </c>
      <c r="I156" s="157"/>
    </row>
    <row r="157" spans="1:9" ht="15.75" thickBot="1">
      <c r="A157" s="167"/>
      <c r="B157" s="168"/>
      <c r="C157" s="226"/>
      <c r="D157" s="226"/>
      <c r="E157" s="226"/>
      <c r="F157" s="166"/>
      <c r="G157" s="241"/>
      <c r="H157" s="242"/>
      <c r="I157" s="157"/>
    </row>
    <row r="158" spans="1:9" ht="17.25" thickBot="1" thickTop="1">
      <c r="A158" s="174" t="s">
        <v>14</v>
      </c>
      <c r="B158" s="175"/>
      <c r="C158" s="228">
        <f>SUM(C145:C157)</f>
        <v>2077091087.8</v>
      </c>
      <c r="D158" s="228">
        <f>SUM(D145:D157)</f>
        <v>184777727.32000002</v>
      </c>
      <c r="E158" s="228">
        <f>SUM(E145:E157)</f>
        <v>184106856.82000002</v>
      </c>
      <c r="F158" s="176">
        <f>(+D158-E158)/E158</f>
        <v>0.003643919143413031</v>
      </c>
      <c r="G158" s="249">
        <f>D158/C158</f>
        <v>0.08895985756489462</v>
      </c>
      <c r="H158" s="272">
        <f>1-G158</f>
        <v>0.9110401424351053</v>
      </c>
      <c r="I158" s="157"/>
    </row>
    <row r="159" spans="1:9" ht="15.75" thickTop="1">
      <c r="A159" s="167"/>
      <c r="B159" s="168"/>
      <c r="C159" s="226"/>
      <c r="D159" s="226"/>
      <c r="E159" s="226"/>
      <c r="F159" s="166"/>
      <c r="G159" s="241"/>
      <c r="H159" s="242"/>
      <c r="I159" s="157"/>
    </row>
    <row r="160" spans="1:9" ht="15.75">
      <c r="A160" s="164" t="s">
        <v>60</v>
      </c>
      <c r="B160" s="165">
        <f>DATE(13,7,1)</f>
        <v>4931</v>
      </c>
      <c r="C160" s="226">
        <v>29928297.84</v>
      </c>
      <c r="D160" s="226">
        <v>2770760.02</v>
      </c>
      <c r="E160" s="226">
        <v>3163344.09</v>
      </c>
      <c r="F160" s="166">
        <f aca="true" t="shared" si="30" ref="F160:F171">(+D160-E160)/E160</f>
        <v>-0.12410413120755379</v>
      </c>
      <c r="G160" s="241">
        <f aca="true" t="shared" si="31" ref="G160:G171">D160/C160</f>
        <v>0.09257994005582243</v>
      </c>
      <c r="H160" s="242">
        <f aca="true" t="shared" si="32" ref="H160:H171">1-G160</f>
        <v>0.9074200599441775</v>
      </c>
      <c r="I160" s="157"/>
    </row>
    <row r="161" spans="1:9" ht="15.75">
      <c r="A161" s="164"/>
      <c r="B161" s="165">
        <f>DATE(13,8,1)</f>
        <v>4962</v>
      </c>
      <c r="C161" s="226">
        <v>31780989.75</v>
      </c>
      <c r="D161" s="226">
        <v>2848021.81</v>
      </c>
      <c r="E161" s="226">
        <v>3047645.81</v>
      </c>
      <c r="F161" s="166">
        <f t="shared" si="30"/>
        <v>-0.06550104980867183</v>
      </c>
      <c r="G161" s="241">
        <f t="shared" si="31"/>
        <v>0.08961400612137953</v>
      </c>
      <c r="H161" s="242">
        <f t="shared" si="32"/>
        <v>0.9103859938786205</v>
      </c>
      <c r="I161" s="157"/>
    </row>
    <row r="162" spans="1:9" ht="15.75">
      <c r="A162" s="164"/>
      <c r="B162" s="165">
        <f>DATE(13,9,1)</f>
        <v>4993</v>
      </c>
      <c r="C162" s="226">
        <v>29385375.21</v>
      </c>
      <c r="D162" s="226">
        <v>2655877.31</v>
      </c>
      <c r="E162" s="226">
        <v>2905512.2</v>
      </c>
      <c r="F162" s="166">
        <f t="shared" si="30"/>
        <v>-0.08591768776603317</v>
      </c>
      <c r="G162" s="241">
        <f t="shared" si="31"/>
        <v>0.09038092217710363</v>
      </c>
      <c r="H162" s="242">
        <f t="shared" si="32"/>
        <v>0.9096190778228964</v>
      </c>
      <c r="I162" s="157"/>
    </row>
    <row r="163" spans="1:9" ht="15.75">
      <c r="A163" s="164"/>
      <c r="B163" s="165">
        <f>DATE(13,10,1)</f>
        <v>5023</v>
      </c>
      <c r="C163" s="226">
        <v>28476250.3</v>
      </c>
      <c r="D163" s="226">
        <v>2691489.37</v>
      </c>
      <c r="E163" s="226">
        <v>2862454.5</v>
      </c>
      <c r="F163" s="166">
        <f t="shared" si="30"/>
        <v>-0.05972675897555747</v>
      </c>
      <c r="G163" s="241">
        <f t="shared" si="31"/>
        <v>0.09451698666941413</v>
      </c>
      <c r="H163" s="242">
        <f t="shared" si="32"/>
        <v>0.9054830133305859</v>
      </c>
      <c r="I163" s="157"/>
    </row>
    <row r="164" spans="1:9" ht="15.75">
      <c r="A164" s="164"/>
      <c r="B164" s="165">
        <f>DATE(13,11,1)</f>
        <v>5054</v>
      </c>
      <c r="C164" s="226">
        <v>31709912.65</v>
      </c>
      <c r="D164" s="226">
        <v>2901304.87</v>
      </c>
      <c r="E164" s="226">
        <v>2947411.58</v>
      </c>
      <c r="F164" s="166">
        <f t="shared" si="30"/>
        <v>-0.015643118970171097</v>
      </c>
      <c r="G164" s="241">
        <f t="shared" si="31"/>
        <v>0.09149520221084557</v>
      </c>
      <c r="H164" s="242">
        <f t="shared" si="32"/>
        <v>0.9085047977891544</v>
      </c>
      <c r="I164" s="157"/>
    </row>
    <row r="165" spans="1:9" ht="15.75">
      <c r="A165" s="164"/>
      <c r="B165" s="165">
        <f>DATE(13,12,1)</f>
        <v>5084</v>
      </c>
      <c r="C165" s="226">
        <v>29022749.92</v>
      </c>
      <c r="D165" s="226">
        <v>2735774.77</v>
      </c>
      <c r="E165" s="226">
        <v>2940149.68</v>
      </c>
      <c r="F165" s="166">
        <f t="shared" si="30"/>
        <v>-0.06951173655893605</v>
      </c>
      <c r="G165" s="241">
        <f t="shared" si="31"/>
        <v>0.09426311350719863</v>
      </c>
      <c r="H165" s="242">
        <f t="shared" si="32"/>
        <v>0.9057368864928014</v>
      </c>
      <c r="I165" s="157"/>
    </row>
    <row r="166" spans="1:9" ht="15.75">
      <c r="A166" s="164"/>
      <c r="B166" s="165">
        <f>DATE(14,1,1)</f>
        <v>5115</v>
      </c>
      <c r="C166" s="226">
        <v>26934592.33</v>
      </c>
      <c r="D166" s="226">
        <v>2493519.96</v>
      </c>
      <c r="E166" s="226">
        <v>2766418.93</v>
      </c>
      <c r="F166" s="166">
        <f t="shared" si="30"/>
        <v>-0.09864701511422935</v>
      </c>
      <c r="G166" s="241">
        <f t="shared" si="31"/>
        <v>0.09257685913525761</v>
      </c>
      <c r="H166" s="242">
        <f t="shared" si="32"/>
        <v>0.9074231408647424</v>
      </c>
      <c r="I166" s="157"/>
    </row>
    <row r="167" spans="1:9" ht="15.75">
      <c r="A167" s="164"/>
      <c r="B167" s="165">
        <f>DATE(14,2,1)</f>
        <v>5146</v>
      </c>
      <c r="C167" s="226">
        <v>28559918.37</v>
      </c>
      <c r="D167" s="226">
        <v>2647555.77</v>
      </c>
      <c r="E167" s="226">
        <v>2885970.9</v>
      </c>
      <c r="F167" s="166">
        <f t="shared" si="30"/>
        <v>-0.08261175814350723</v>
      </c>
      <c r="G167" s="241">
        <f t="shared" si="31"/>
        <v>0.09270179752267968</v>
      </c>
      <c r="H167" s="242">
        <f t="shared" si="32"/>
        <v>0.9072982024773203</v>
      </c>
      <c r="I167" s="157"/>
    </row>
    <row r="168" spans="1:9" ht="15.75">
      <c r="A168" s="164"/>
      <c r="B168" s="165">
        <f>DATE(14,3,1)</f>
        <v>5174</v>
      </c>
      <c r="C168" s="226">
        <v>34429442.84</v>
      </c>
      <c r="D168" s="226">
        <v>3211883.94</v>
      </c>
      <c r="E168" s="226">
        <v>3436064.85</v>
      </c>
      <c r="F168" s="166">
        <f t="shared" si="30"/>
        <v>-0.06524350377147281</v>
      </c>
      <c r="G168" s="241">
        <f t="shared" si="31"/>
        <v>0.09328887356458887</v>
      </c>
      <c r="H168" s="242">
        <f t="shared" si="32"/>
        <v>0.9067111264354111</v>
      </c>
      <c r="I168" s="157"/>
    </row>
    <row r="169" spans="1:9" ht="15.75">
      <c r="A169" s="164"/>
      <c r="B169" s="165">
        <f>DATE(14,4,1)</f>
        <v>5205</v>
      </c>
      <c r="C169" s="226">
        <v>31801680.15</v>
      </c>
      <c r="D169" s="226">
        <v>2894664.17</v>
      </c>
      <c r="E169" s="226">
        <v>3051309.05</v>
      </c>
      <c r="F169" s="166">
        <f t="shared" si="30"/>
        <v>-0.051336943401390264</v>
      </c>
      <c r="G169" s="241">
        <f t="shared" si="31"/>
        <v>0.09102236599911216</v>
      </c>
      <c r="H169" s="242">
        <f t="shared" si="32"/>
        <v>0.9089776340008878</v>
      </c>
      <c r="I169" s="157"/>
    </row>
    <row r="170" spans="1:9" ht="15.75">
      <c r="A170" s="164"/>
      <c r="B170" s="165">
        <f>DATE(14,5,1)</f>
        <v>5235</v>
      </c>
      <c r="C170" s="226">
        <v>34539002.54</v>
      </c>
      <c r="D170" s="226">
        <v>3258361.01</v>
      </c>
      <c r="E170" s="226">
        <v>3109027.49</v>
      </c>
      <c r="F170" s="166">
        <f t="shared" si="30"/>
        <v>0.048032228881964484</v>
      </c>
      <c r="G170" s="241">
        <f t="shared" si="31"/>
        <v>0.09433859609079492</v>
      </c>
      <c r="H170" s="242">
        <f t="shared" si="32"/>
        <v>0.905661403909205</v>
      </c>
      <c r="I170" s="157"/>
    </row>
    <row r="171" spans="1:9" ht="15.75">
      <c r="A171" s="164"/>
      <c r="B171" s="165">
        <f>DATE(14,6,1)</f>
        <v>5266</v>
      </c>
      <c r="C171" s="226">
        <v>28931311.72</v>
      </c>
      <c r="D171" s="226">
        <v>2747904.23</v>
      </c>
      <c r="E171" s="226">
        <v>2805503.84</v>
      </c>
      <c r="F171" s="166">
        <f t="shared" si="30"/>
        <v>-0.020530932511573348</v>
      </c>
      <c r="G171" s="241">
        <f t="shared" si="31"/>
        <v>0.09498028491049697</v>
      </c>
      <c r="H171" s="242">
        <f t="shared" si="32"/>
        <v>0.9050197150895031</v>
      </c>
      <c r="I171" s="157"/>
    </row>
    <row r="172" spans="1:9" ht="15.75" thickBot="1">
      <c r="A172" s="167"/>
      <c r="B172" s="168"/>
      <c r="C172" s="226"/>
      <c r="D172" s="226"/>
      <c r="E172" s="226"/>
      <c r="F172" s="166"/>
      <c r="G172" s="241"/>
      <c r="H172" s="242"/>
      <c r="I172" s="157"/>
    </row>
    <row r="173" spans="1:9" ht="17.25" thickBot="1" thickTop="1">
      <c r="A173" s="182" t="s">
        <v>14</v>
      </c>
      <c r="B173" s="183"/>
      <c r="C173" s="230">
        <f>SUM(C160:C172)</f>
        <v>365499523.62</v>
      </c>
      <c r="D173" s="230">
        <f>SUM(D160:D172)</f>
        <v>33857117.23</v>
      </c>
      <c r="E173" s="230">
        <f>SUM(E160:E172)</f>
        <v>35920812.92</v>
      </c>
      <c r="F173" s="176">
        <f>(+D173-E173)/E173</f>
        <v>-0.057451252414473616</v>
      </c>
      <c r="G173" s="249">
        <f>D173/C173</f>
        <v>0.09263245241654632</v>
      </c>
      <c r="H173" s="246">
        <f>1-G173</f>
        <v>0.9073675475834537</v>
      </c>
      <c r="I173" s="157"/>
    </row>
    <row r="174" spans="1:9" ht="15.75" thickTop="1">
      <c r="A174" s="167"/>
      <c r="B174" s="168"/>
      <c r="C174" s="226"/>
      <c r="D174" s="226"/>
      <c r="E174" s="226"/>
      <c r="F174" s="166"/>
      <c r="G174" s="241"/>
      <c r="H174" s="242"/>
      <c r="I174" s="157"/>
    </row>
    <row r="175" spans="1:9" ht="15.75">
      <c r="A175" s="164" t="s">
        <v>40</v>
      </c>
      <c r="B175" s="165">
        <f>DATE(13,7,1)</f>
        <v>4931</v>
      </c>
      <c r="C175" s="226">
        <v>206718365.87</v>
      </c>
      <c r="D175" s="226">
        <v>19237476.19</v>
      </c>
      <c r="E175" s="226">
        <v>22090527.91</v>
      </c>
      <c r="F175" s="166">
        <f aca="true" t="shared" si="33" ref="F175:F186">(+D175-E175)/E175</f>
        <v>-0.12915271792615113</v>
      </c>
      <c r="G175" s="241">
        <f aca="true" t="shared" si="34" ref="G175:G186">D175/C175</f>
        <v>0.09306128223796993</v>
      </c>
      <c r="H175" s="242">
        <f aca="true" t="shared" si="35" ref="H175:H186">1-G175</f>
        <v>0.9069387177620301</v>
      </c>
      <c r="I175" s="157"/>
    </row>
    <row r="176" spans="1:9" ht="15.75">
      <c r="A176" s="164"/>
      <c r="B176" s="165">
        <f>DATE(13,8,1)</f>
        <v>4962</v>
      </c>
      <c r="C176" s="226">
        <v>210570565.71</v>
      </c>
      <c r="D176" s="226">
        <v>19934717.81</v>
      </c>
      <c r="E176" s="226">
        <v>21449923.71</v>
      </c>
      <c r="F176" s="166">
        <f t="shared" si="33"/>
        <v>-0.07063922093548566</v>
      </c>
      <c r="G176" s="241">
        <f t="shared" si="34"/>
        <v>0.09467001118026297</v>
      </c>
      <c r="H176" s="242">
        <f t="shared" si="35"/>
        <v>0.905329988819737</v>
      </c>
      <c r="I176" s="157"/>
    </row>
    <row r="177" spans="1:9" ht="15.75">
      <c r="A177" s="164"/>
      <c r="B177" s="165">
        <f>DATE(13,9,1)</f>
        <v>4993</v>
      </c>
      <c r="C177" s="226">
        <v>194333818.07</v>
      </c>
      <c r="D177" s="226">
        <v>18326968.42</v>
      </c>
      <c r="E177" s="226">
        <v>20533324.03</v>
      </c>
      <c r="F177" s="166">
        <f t="shared" si="33"/>
        <v>-0.10745243228891856</v>
      </c>
      <c r="G177" s="241">
        <f t="shared" si="34"/>
        <v>0.09430663485136971</v>
      </c>
      <c r="H177" s="242">
        <f t="shared" si="35"/>
        <v>0.9056933651486303</v>
      </c>
      <c r="I177" s="157"/>
    </row>
    <row r="178" spans="1:9" ht="15.75">
      <c r="A178" s="164"/>
      <c r="B178" s="165">
        <f>DATE(13,10,1)</f>
        <v>5023</v>
      </c>
      <c r="C178" s="226">
        <v>196701866.11</v>
      </c>
      <c r="D178" s="226">
        <v>18320631.43</v>
      </c>
      <c r="E178" s="226">
        <v>19747693.37</v>
      </c>
      <c r="F178" s="166">
        <f t="shared" si="33"/>
        <v>-0.07226474065917711</v>
      </c>
      <c r="G178" s="241">
        <f t="shared" si="34"/>
        <v>0.09313908298030431</v>
      </c>
      <c r="H178" s="242">
        <f t="shared" si="35"/>
        <v>0.9068609170196957</v>
      </c>
      <c r="I178" s="157"/>
    </row>
    <row r="179" spans="1:9" ht="15.75">
      <c r="A179" s="164"/>
      <c r="B179" s="165">
        <f>DATE(13,11,1)</f>
        <v>5054</v>
      </c>
      <c r="C179" s="226">
        <v>203585275.39</v>
      </c>
      <c r="D179" s="226">
        <v>19295010.93</v>
      </c>
      <c r="E179" s="226">
        <v>20080028.35</v>
      </c>
      <c r="F179" s="166">
        <f t="shared" si="33"/>
        <v>-0.03909443783230524</v>
      </c>
      <c r="G179" s="241">
        <f t="shared" si="34"/>
        <v>0.0947760632149714</v>
      </c>
      <c r="H179" s="242">
        <f t="shared" si="35"/>
        <v>0.9052239367850285</v>
      </c>
      <c r="I179" s="157"/>
    </row>
    <row r="180" spans="1:9" ht="15.75">
      <c r="A180" s="164"/>
      <c r="B180" s="165">
        <f>DATE(13,12,1)</f>
        <v>5084</v>
      </c>
      <c r="C180" s="226">
        <v>198400028.98</v>
      </c>
      <c r="D180" s="226">
        <v>18347510.94</v>
      </c>
      <c r="E180" s="226">
        <v>20752851.84</v>
      </c>
      <c r="F180" s="166">
        <f t="shared" si="33"/>
        <v>-0.11590411373553171</v>
      </c>
      <c r="G180" s="241">
        <f t="shared" si="34"/>
        <v>0.09247736018148238</v>
      </c>
      <c r="H180" s="242">
        <f t="shared" si="35"/>
        <v>0.9075226398185177</v>
      </c>
      <c r="I180" s="157"/>
    </row>
    <row r="181" spans="1:9" ht="15.75">
      <c r="A181" s="164"/>
      <c r="B181" s="165">
        <f>DATE(14,1,1)</f>
        <v>5115</v>
      </c>
      <c r="C181" s="226">
        <v>186938963.67</v>
      </c>
      <c r="D181" s="226">
        <v>17394720.31</v>
      </c>
      <c r="E181" s="226">
        <v>18843525.52</v>
      </c>
      <c r="F181" s="166">
        <f t="shared" si="33"/>
        <v>-0.07688610119493186</v>
      </c>
      <c r="G181" s="241">
        <f t="shared" si="34"/>
        <v>0.09305026607886084</v>
      </c>
      <c r="H181" s="242">
        <f t="shared" si="35"/>
        <v>0.9069497339211392</v>
      </c>
      <c r="I181" s="157"/>
    </row>
    <row r="182" spans="1:9" ht="15.75">
      <c r="A182" s="164"/>
      <c r="B182" s="165">
        <f>DATE(14,2,1)</f>
        <v>5146</v>
      </c>
      <c r="C182" s="226">
        <v>193542550.5</v>
      </c>
      <c r="D182" s="226">
        <v>18139656.1</v>
      </c>
      <c r="E182" s="226">
        <v>19736169.85</v>
      </c>
      <c r="F182" s="166">
        <f t="shared" si="33"/>
        <v>-0.08089278528376669</v>
      </c>
      <c r="G182" s="241">
        <f t="shared" si="34"/>
        <v>0.09372438284572468</v>
      </c>
      <c r="H182" s="242">
        <f t="shared" si="35"/>
        <v>0.9062756171542753</v>
      </c>
      <c r="I182" s="157"/>
    </row>
    <row r="183" spans="1:9" ht="15.75">
      <c r="A183" s="164"/>
      <c r="B183" s="165">
        <f>DATE(14,3,1)</f>
        <v>5174</v>
      </c>
      <c r="C183" s="226">
        <v>224439557.86</v>
      </c>
      <c r="D183" s="226">
        <v>21110329.34</v>
      </c>
      <c r="E183" s="226">
        <v>22043911.37</v>
      </c>
      <c r="F183" s="166">
        <f t="shared" si="33"/>
        <v>-0.04235101540421413</v>
      </c>
      <c r="G183" s="241">
        <f t="shared" si="34"/>
        <v>0.09405797062373521</v>
      </c>
      <c r="H183" s="242">
        <f t="shared" si="35"/>
        <v>0.9059420293762648</v>
      </c>
      <c r="I183" s="157"/>
    </row>
    <row r="184" spans="1:9" ht="15.75">
      <c r="A184" s="164"/>
      <c r="B184" s="165">
        <f>DATE(14,4,1)</f>
        <v>5205</v>
      </c>
      <c r="C184" s="226">
        <v>204939482.99</v>
      </c>
      <c r="D184" s="226">
        <v>19169265.64</v>
      </c>
      <c r="E184" s="226">
        <v>19646035.61</v>
      </c>
      <c r="F184" s="166">
        <f t="shared" si="33"/>
        <v>-0.024267998870841852</v>
      </c>
      <c r="G184" s="241">
        <f t="shared" si="34"/>
        <v>0.09353622523257445</v>
      </c>
      <c r="H184" s="242">
        <f t="shared" si="35"/>
        <v>0.9064637747674256</v>
      </c>
      <c r="I184" s="157"/>
    </row>
    <row r="185" spans="1:9" ht="15.75">
      <c r="A185" s="164"/>
      <c r="B185" s="165">
        <f>DATE(14,5,1)</f>
        <v>5235</v>
      </c>
      <c r="C185" s="226">
        <v>212449542.25</v>
      </c>
      <c r="D185" s="226">
        <v>20173110.69</v>
      </c>
      <c r="E185" s="226">
        <v>19367082</v>
      </c>
      <c r="F185" s="166">
        <f t="shared" si="33"/>
        <v>0.041618489042386526</v>
      </c>
      <c r="G185" s="241">
        <f t="shared" si="34"/>
        <v>0.09495483245739966</v>
      </c>
      <c r="H185" s="242">
        <f t="shared" si="35"/>
        <v>0.9050451675426003</v>
      </c>
      <c r="I185" s="157"/>
    </row>
    <row r="186" spans="1:9" ht="15.75">
      <c r="A186" s="164"/>
      <c r="B186" s="165">
        <f>DATE(14,6,1)</f>
        <v>5266</v>
      </c>
      <c r="C186" s="226">
        <v>198033772.25</v>
      </c>
      <c r="D186" s="226">
        <v>18339446.92</v>
      </c>
      <c r="E186" s="226">
        <v>19912733.8</v>
      </c>
      <c r="F186" s="166">
        <f t="shared" si="33"/>
        <v>-0.07900908513124395</v>
      </c>
      <c r="G186" s="241">
        <f t="shared" si="34"/>
        <v>0.09260767348736904</v>
      </c>
      <c r="H186" s="242">
        <f t="shared" si="35"/>
        <v>0.9073923265126309</v>
      </c>
      <c r="I186" s="157"/>
    </row>
    <row r="187" spans="1:9" ht="15.75" thickBot="1">
      <c r="A187" s="167"/>
      <c r="B187" s="168"/>
      <c r="C187" s="226"/>
      <c r="D187" s="226"/>
      <c r="E187" s="226"/>
      <c r="F187" s="166"/>
      <c r="G187" s="241"/>
      <c r="H187" s="242"/>
      <c r="I187" s="157"/>
    </row>
    <row r="188" spans="1:9" ht="17.25" thickBot="1" thickTop="1">
      <c r="A188" s="174" t="s">
        <v>14</v>
      </c>
      <c r="B188" s="175"/>
      <c r="C188" s="228">
        <f>SUM(C175:C187)</f>
        <v>2430653789.6500006</v>
      </c>
      <c r="D188" s="228">
        <f>SUM(D175:D187)</f>
        <v>227788844.72000003</v>
      </c>
      <c r="E188" s="228">
        <f>SUM(E175:E187)</f>
        <v>244203807.36</v>
      </c>
      <c r="F188" s="176">
        <f>(+D188-E188)/E188</f>
        <v>-0.06721829121935596</v>
      </c>
      <c r="G188" s="245">
        <f>D188/C188</f>
        <v>0.09371505135365257</v>
      </c>
      <c r="H188" s="246">
        <f>1-G188</f>
        <v>0.9062849486463475</v>
      </c>
      <c r="I188" s="157"/>
    </row>
    <row r="189" spans="1:9" ht="15.75" thickTop="1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5.75">
      <c r="A190" s="164" t="s">
        <v>73</v>
      </c>
      <c r="B190" s="165">
        <f>DATE(13,7,1)</f>
        <v>4931</v>
      </c>
      <c r="C190" s="226">
        <v>32565782.91</v>
      </c>
      <c r="D190" s="226">
        <v>2870304.45</v>
      </c>
      <c r="E190" s="226">
        <v>3237074.33</v>
      </c>
      <c r="F190" s="166">
        <f aca="true" t="shared" si="36" ref="F190:F201">(+D190-E190)/E190</f>
        <v>-0.11330289100899325</v>
      </c>
      <c r="G190" s="241">
        <f aca="true" t="shared" si="37" ref="G190:G201">D190/C190</f>
        <v>0.08813865946145007</v>
      </c>
      <c r="H190" s="242">
        <f aca="true" t="shared" si="38" ref="H190:H201">1-G190</f>
        <v>0.91186134053855</v>
      </c>
      <c r="I190" s="157"/>
    </row>
    <row r="191" spans="1:9" ht="15.75">
      <c r="A191" s="164"/>
      <c r="B191" s="165">
        <f>DATE(13,8,1)</f>
        <v>4962</v>
      </c>
      <c r="C191" s="226">
        <v>33036170.16</v>
      </c>
      <c r="D191" s="226">
        <v>2938117.55</v>
      </c>
      <c r="E191" s="226">
        <v>3078065.54</v>
      </c>
      <c r="F191" s="166">
        <f t="shared" si="36"/>
        <v>-0.04546621512159232</v>
      </c>
      <c r="G191" s="241">
        <f t="shared" si="37"/>
        <v>0.08893638505220727</v>
      </c>
      <c r="H191" s="242">
        <f t="shared" si="38"/>
        <v>0.9110636149477928</v>
      </c>
      <c r="I191" s="157"/>
    </row>
    <row r="192" spans="1:9" ht="15.75">
      <c r="A192" s="164"/>
      <c r="B192" s="165">
        <f>DATE(13,9,1)</f>
        <v>4993</v>
      </c>
      <c r="C192" s="226">
        <v>30063462.28</v>
      </c>
      <c r="D192" s="226">
        <v>2795573.06</v>
      </c>
      <c r="E192" s="226">
        <v>3025142.38</v>
      </c>
      <c r="F192" s="166">
        <f t="shared" si="36"/>
        <v>-0.07588711246047197</v>
      </c>
      <c r="G192" s="241">
        <f t="shared" si="37"/>
        <v>0.09298905874390194</v>
      </c>
      <c r="H192" s="242">
        <f t="shared" si="38"/>
        <v>0.907010941256098</v>
      </c>
      <c r="I192" s="157"/>
    </row>
    <row r="193" spans="1:9" ht="15.75">
      <c r="A193" s="164"/>
      <c r="B193" s="165">
        <f>DATE(13,10,1)</f>
        <v>5023</v>
      </c>
      <c r="C193" s="226">
        <v>30701760.99</v>
      </c>
      <c r="D193" s="226">
        <v>2890029.24</v>
      </c>
      <c r="E193" s="226">
        <v>3023456.63</v>
      </c>
      <c r="F193" s="166">
        <f t="shared" si="36"/>
        <v>-0.04413074382350233</v>
      </c>
      <c r="G193" s="241">
        <f t="shared" si="37"/>
        <v>0.09413236071186028</v>
      </c>
      <c r="H193" s="242">
        <f t="shared" si="38"/>
        <v>0.9058676392881397</v>
      </c>
      <c r="I193" s="157"/>
    </row>
    <row r="194" spans="1:9" ht="15.75">
      <c r="A194" s="164"/>
      <c r="B194" s="165">
        <f>DATE(13,11,1)</f>
        <v>5054</v>
      </c>
      <c r="C194" s="226">
        <v>30542683.73</v>
      </c>
      <c r="D194" s="226">
        <v>2745250.28</v>
      </c>
      <c r="E194" s="226">
        <v>2971181.48</v>
      </c>
      <c r="F194" s="166">
        <f t="shared" si="36"/>
        <v>-0.07604086169788599</v>
      </c>
      <c r="G194" s="241">
        <f t="shared" si="37"/>
        <v>0.08988241846290433</v>
      </c>
      <c r="H194" s="242">
        <f t="shared" si="38"/>
        <v>0.9101175815370957</v>
      </c>
      <c r="I194" s="157"/>
    </row>
    <row r="195" spans="1:9" ht="15.75">
      <c r="A195" s="164"/>
      <c r="B195" s="165">
        <f>DATE(13,12,1)</f>
        <v>5084</v>
      </c>
      <c r="C195" s="226">
        <v>28451942.65</v>
      </c>
      <c r="D195" s="226">
        <v>2746616.4</v>
      </c>
      <c r="E195" s="226">
        <v>3211065.19</v>
      </c>
      <c r="F195" s="166">
        <f t="shared" si="36"/>
        <v>-0.1446400999414154</v>
      </c>
      <c r="G195" s="241">
        <f t="shared" si="37"/>
        <v>0.09653528526285006</v>
      </c>
      <c r="H195" s="242">
        <f t="shared" si="38"/>
        <v>0.90346471473715</v>
      </c>
      <c r="I195" s="157"/>
    </row>
    <row r="196" spans="1:9" ht="15.75">
      <c r="A196" s="164"/>
      <c r="B196" s="165">
        <f>DATE(14,1,1)</f>
        <v>5115</v>
      </c>
      <c r="C196" s="226">
        <v>29183307.7</v>
      </c>
      <c r="D196" s="226">
        <v>2799547.91</v>
      </c>
      <c r="E196" s="226">
        <v>2916329.4</v>
      </c>
      <c r="F196" s="166">
        <f t="shared" si="36"/>
        <v>-0.04004399845915889</v>
      </c>
      <c r="G196" s="241">
        <f t="shared" si="37"/>
        <v>0.09592976707023516</v>
      </c>
      <c r="H196" s="242">
        <f t="shared" si="38"/>
        <v>0.9040702329297648</v>
      </c>
      <c r="I196" s="157"/>
    </row>
    <row r="197" spans="1:9" ht="15.75">
      <c r="A197" s="164"/>
      <c r="B197" s="165">
        <f>DATE(14,2,1)</f>
        <v>5146</v>
      </c>
      <c r="C197" s="226">
        <v>33348064.82</v>
      </c>
      <c r="D197" s="226">
        <v>3141992.72</v>
      </c>
      <c r="E197" s="226">
        <v>3105363.2</v>
      </c>
      <c r="F197" s="166">
        <f t="shared" si="36"/>
        <v>0.01179556710145854</v>
      </c>
      <c r="G197" s="241">
        <f t="shared" si="37"/>
        <v>0.09421814240074397</v>
      </c>
      <c r="H197" s="242">
        <f t="shared" si="38"/>
        <v>0.905781857599256</v>
      </c>
      <c r="I197" s="157"/>
    </row>
    <row r="198" spans="1:9" ht="15.75">
      <c r="A198" s="164"/>
      <c r="B198" s="165">
        <f>DATE(14,3,1)</f>
        <v>5174</v>
      </c>
      <c r="C198" s="226">
        <v>35909851.74</v>
      </c>
      <c r="D198" s="226">
        <v>3374540.99</v>
      </c>
      <c r="E198" s="226">
        <v>3512485.75</v>
      </c>
      <c r="F198" s="166">
        <f t="shared" si="36"/>
        <v>-0.03927268886428928</v>
      </c>
      <c r="G198" s="241">
        <f t="shared" si="37"/>
        <v>0.09397256815296448</v>
      </c>
      <c r="H198" s="242">
        <f t="shared" si="38"/>
        <v>0.9060274318470355</v>
      </c>
      <c r="I198" s="157"/>
    </row>
    <row r="199" spans="1:9" ht="15.75">
      <c r="A199" s="164"/>
      <c r="B199" s="165">
        <f>DATE(14,4,1)</f>
        <v>5205</v>
      </c>
      <c r="C199" s="226">
        <v>32968342.87</v>
      </c>
      <c r="D199" s="226">
        <v>3134961.91</v>
      </c>
      <c r="E199" s="226">
        <v>3162922.76</v>
      </c>
      <c r="F199" s="166">
        <f t="shared" si="36"/>
        <v>-0.008840193745357104</v>
      </c>
      <c r="G199" s="241">
        <f t="shared" si="37"/>
        <v>0.0950900663209464</v>
      </c>
      <c r="H199" s="242">
        <f t="shared" si="38"/>
        <v>0.9049099336790536</v>
      </c>
      <c r="I199" s="157"/>
    </row>
    <row r="200" spans="1:9" ht="15.75">
      <c r="A200" s="164"/>
      <c r="B200" s="165">
        <f>DATE(14,5,1)</f>
        <v>5235</v>
      </c>
      <c r="C200" s="226">
        <v>32563537.52</v>
      </c>
      <c r="D200" s="226">
        <v>3077134.14</v>
      </c>
      <c r="E200" s="226">
        <v>3167766.85</v>
      </c>
      <c r="F200" s="166">
        <f t="shared" si="36"/>
        <v>-0.028610915604473847</v>
      </c>
      <c r="G200" s="241">
        <f t="shared" si="37"/>
        <v>0.09449631011710795</v>
      </c>
      <c r="H200" s="242">
        <f t="shared" si="38"/>
        <v>0.9055036898828921</v>
      </c>
      <c r="I200" s="157"/>
    </row>
    <row r="201" spans="1:9" ht="15.75">
      <c r="A201" s="164"/>
      <c r="B201" s="165">
        <f>DATE(14,6,1)</f>
        <v>5266</v>
      </c>
      <c r="C201" s="226">
        <v>30728150.53</v>
      </c>
      <c r="D201" s="226">
        <v>2860019.39</v>
      </c>
      <c r="E201" s="226">
        <v>2972147.87</v>
      </c>
      <c r="F201" s="166">
        <f t="shared" si="36"/>
        <v>-0.03772641365922348</v>
      </c>
      <c r="G201" s="241">
        <f t="shared" si="37"/>
        <v>0.09307489519122712</v>
      </c>
      <c r="H201" s="242">
        <f t="shared" si="38"/>
        <v>0.9069251048087729</v>
      </c>
      <c r="I201" s="157"/>
    </row>
    <row r="202" spans="1:9" ht="15.75" thickBot="1">
      <c r="A202" s="167"/>
      <c r="B202" s="168"/>
      <c r="C202" s="226"/>
      <c r="D202" s="226"/>
      <c r="E202" s="226"/>
      <c r="F202" s="166"/>
      <c r="G202" s="241"/>
      <c r="H202" s="242"/>
      <c r="I202" s="157"/>
    </row>
    <row r="203" spans="1:9" ht="17.25" thickBot="1" thickTop="1">
      <c r="A203" s="169" t="s">
        <v>14</v>
      </c>
      <c r="B203" s="155"/>
      <c r="C203" s="223">
        <f>SUM(C190:C202)</f>
        <v>380063057.9</v>
      </c>
      <c r="D203" s="223">
        <f>SUM(D190:D202)</f>
        <v>35374088.04</v>
      </c>
      <c r="E203" s="223">
        <f>SUM(E190:E202)</f>
        <v>37383001.379999995</v>
      </c>
      <c r="F203" s="176">
        <f>(+D203-E203)/E203</f>
        <v>-0.053738685119990665</v>
      </c>
      <c r="G203" s="245">
        <f>D203/C203</f>
        <v>0.0930742604541887</v>
      </c>
      <c r="H203" s="246">
        <f>1-G203</f>
        <v>0.9069257395458112</v>
      </c>
      <c r="I203" s="157"/>
    </row>
    <row r="204" spans="1:9" ht="16.5" thickBot="1" thickTop="1">
      <c r="A204" s="171"/>
      <c r="B204" s="172"/>
      <c r="C204" s="227"/>
      <c r="D204" s="227"/>
      <c r="E204" s="227"/>
      <c r="F204" s="173"/>
      <c r="G204" s="243"/>
      <c r="H204" s="244"/>
      <c r="I204" s="157"/>
    </row>
    <row r="205" spans="1:9" ht="17.25" thickBot="1" thickTop="1">
      <c r="A205" s="184" t="s">
        <v>41</v>
      </c>
      <c r="B205" s="155"/>
      <c r="C205" s="223">
        <f>C203+C188+C143+C113+C83+C53+C23+C68+C173+C38+C128+C158+C98</f>
        <v>15625023292.699999</v>
      </c>
      <c r="D205" s="223">
        <f>D203+D188+D143+D113+D83+D53+D23+D68+D173+D38+D128+D158+D98</f>
        <v>1455549984.6</v>
      </c>
      <c r="E205" s="223">
        <f>E203+E188+E143+E113+E83+E53+E23+E68+E173+E38+E128+E158+E98</f>
        <v>1534239357.0999997</v>
      </c>
      <c r="F205" s="170">
        <f>(+D205-E205)/E205</f>
        <v>-0.05128885016268742</v>
      </c>
      <c r="G205" s="236">
        <f>D205/C205</f>
        <v>0.09315506014509636</v>
      </c>
      <c r="H205" s="237">
        <f>1-G205</f>
        <v>0.9068449398549037</v>
      </c>
      <c r="I205" s="157"/>
    </row>
    <row r="206" spans="1:9" ht="17.25" thickBot="1" thickTop="1">
      <c r="A206" s="184"/>
      <c r="B206" s="155"/>
      <c r="C206" s="223"/>
      <c r="D206" s="223"/>
      <c r="E206" s="223"/>
      <c r="F206" s="170"/>
      <c r="G206" s="236"/>
      <c r="H206" s="237"/>
      <c r="I206" s="157"/>
    </row>
    <row r="207" spans="1:9" ht="17.25" thickBot="1" thickTop="1">
      <c r="A207" s="184" t="s">
        <v>42</v>
      </c>
      <c r="B207" s="155"/>
      <c r="C207" s="223">
        <f>+C21+C36+C51+C66+C81+C96+C111+C126+C141+C156+C171+C186+C201</f>
        <v>1249888521.81</v>
      </c>
      <c r="D207" s="223">
        <f>+D21+D36+D51+D66+D81+D96+D111+D126+D141+D156+D171+D186+D201</f>
        <v>116539628.02000001</v>
      </c>
      <c r="E207" s="223">
        <f>+E21+E36+E51+E66+E81+E96+E111+E126+E141+E156+E171+E186+E201</f>
        <v>122760021.59</v>
      </c>
      <c r="F207" s="170">
        <f>(+D207-E207)/E207</f>
        <v>-0.05067116712291866</v>
      </c>
      <c r="G207" s="236">
        <f>D207/C207</f>
        <v>0.09324001779873584</v>
      </c>
      <c r="H207" s="246">
        <f>1-G207</f>
        <v>0.9067599822012642</v>
      </c>
      <c r="I207" s="157"/>
    </row>
    <row r="208" spans="1:9" ht="16.5" thickTop="1">
      <c r="A208" s="185"/>
      <c r="B208" s="186"/>
      <c r="C208" s="231"/>
      <c r="D208" s="231"/>
      <c r="E208" s="231"/>
      <c r="F208" s="187"/>
      <c r="G208" s="250"/>
      <c r="H208" s="250"/>
      <c r="I208" s="151"/>
    </row>
    <row r="209" spans="1:18" s="3" customFormat="1" ht="15.75">
      <c r="A209" s="276" t="s">
        <v>63</v>
      </c>
      <c r="B209" s="261"/>
      <c r="C209" s="262"/>
      <c r="D209" s="261"/>
      <c r="E209" s="261"/>
      <c r="F209" s="261"/>
      <c r="G209" s="261"/>
      <c r="H209" s="261"/>
      <c r="I209" s="261"/>
      <c r="J209" s="261"/>
      <c r="K209" s="262"/>
      <c r="L209" s="262"/>
      <c r="M209" s="261"/>
      <c r="R209" s="2"/>
    </row>
    <row r="210" spans="1:18" s="3" customFormat="1" ht="15.75">
      <c r="A210" s="256" t="s">
        <v>69</v>
      </c>
      <c r="B210" s="258"/>
      <c r="C210" s="259"/>
      <c r="D210" s="259"/>
      <c r="E210" s="259"/>
      <c r="F210" s="260"/>
      <c r="G210" s="257"/>
      <c r="H210" s="257"/>
      <c r="I210" s="261"/>
      <c r="J210" s="261"/>
      <c r="K210" s="262"/>
      <c r="L210" s="262"/>
      <c r="M210" s="261"/>
      <c r="R210" s="2"/>
    </row>
    <row r="211" spans="1:18" s="3" customFormat="1" ht="15.75">
      <c r="A211" s="256" t="s">
        <v>75</v>
      </c>
      <c r="B211" s="258"/>
      <c r="C211" s="259"/>
      <c r="D211" s="259"/>
      <c r="E211" s="259"/>
      <c r="F211" s="260"/>
      <c r="G211" s="257"/>
      <c r="H211" s="257"/>
      <c r="I211" s="261"/>
      <c r="J211" s="261"/>
      <c r="K211" s="262"/>
      <c r="L211" s="262"/>
      <c r="M211" s="261"/>
      <c r="R211" s="2"/>
    </row>
    <row r="212" spans="1:9" ht="16.5" customHeight="1">
      <c r="A212" s="188" t="s">
        <v>52</v>
      </c>
      <c r="B212" s="189"/>
      <c r="C212" s="232"/>
      <c r="D212" s="232"/>
      <c r="E212" s="232"/>
      <c r="F212" s="190"/>
      <c r="G212" s="251"/>
      <c r="H212" s="251"/>
      <c r="I212" s="151"/>
    </row>
    <row r="213" spans="1:9" ht="15.75">
      <c r="A213" s="191"/>
      <c r="B213" s="189"/>
      <c r="C213" s="232"/>
      <c r="D213" s="232"/>
      <c r="E213" s="232"/>
      <c r="F213" s="190"/>
      <c r="G213" s="257"/>
      <c r="H213" s="257"/>
      <c r="I213" s="151"/>
    </row>
    <row r="214" spans="1:9" ht="15.75">
      <c r="A214" s="72"/>
      <c r="I214" s="151"/>
    </row>
  </sheetData>
  <sheetProtection/>
  <printOptions horizontalCentered="1"/>
  <pageMargins left="0.75" right="0.25" top="0.3194" bottom="0.2" header="0.5" footer="0.5"/>
  <pageSetup horizontalDpi="600" verticalDpi="600" orientation="landscape" scale="64" r:id="rId1"/>
  <rowBreaks count="4" manualBreakCount="4">
    <brk id="53" max="8" man="1"/>
    <brk id="98" max="8" man="1"/>
    <brk id="143" max="8" man="1"/>
    <brk id="1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2014-07-09T14:24:54Z</cp:lastPrinted>
  <dcterms:created xsi:type="dcterms:W3CDTF">2003-09-09T14:41:43Z</dcterms:created>
  <dcterms:modified xsi:type="dcterms:W3CDTF">2014-07-09T20:17:38Z</dcterms:modified>
  <cp:category/>
  <cp:version/>
  <cp:contentType/>
  <cp:contentStatus/>
</cp:coreProperties>
</file>