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STATS'!$A$1:$M$119</definedName>
    <definedName name="_xlnm.Print_Area" localSheetId="3">'SLOT STATS'!$A$1:$I$120</definedName>
    <definedName name="_xlnm.Print_Area" localSheetId="2">'TABLE STATS'!$A$1:$H$119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<sst xmlns="http://schemas.openxmlformats.org/spreadsheetml/2006/main" count="203" uniqueCount="81">
  <si>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</si>
  <si>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</si>
  <si>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</si>
  <si>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</si>
  <si>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</si>
  <si>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</si>
  <si>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</si>
  <si>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</si>
  <si>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</si>
  <si>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</si>
  <si>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</si>
  <si>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</si>
  <si>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</si>
  <si>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</si>
  <si>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</si>
  <si>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</si>
  <si>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</si>
  <si>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</si>
  <si>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</si>
  <si>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</si>
  <si>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</si>
  <si>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</si>
  <si>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</si>
  <si>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</si>
  <si>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</si>
  <si>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</si>
  <si>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</si>
  <si>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</si>
  <si>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</si>
  <si>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</si>
  <si>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</si>
  <si>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</si>
  <si>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</si>
  <si>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</si>
  <si>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</si>
  <si>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</si>
  <si>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</si>
  <si>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</si>
  <si>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</si>
  <si>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</si>
  <si>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</si>
  <si>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</si>
  <si>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</si>
  <si>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</si>
  <si>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</si>
  <si>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</si>
  <si>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</si>
  <si>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</si>
  <si>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</si>
  <si>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</si>
  <si>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</si>
  <si>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</si>
  <si>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</si>
  <si>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</si>
  <si>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</si>
  <si>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</si>
  <si>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</si>
  <si>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 xml:space="preserve">LUMIERE PLACE 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</si>
  <si>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</si>
  <si>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</si>
  <si>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</si>
  <si>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</si>
  <si>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</si>
  <si>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* Isle Of Capri - Cape Girardeau opened 10/30/12.</t>
  </si>
  <si>
    <t>IOC - CAPE GIRARDEAU *</t>
  </si>
  <si>
    <t xml:space="preserve"> Isle Of Capri - Cape Girardeau opened 10/30/12.</t>
  </si>
  <si>
    <t>HARRAHS MH/</t>
  </si>
  <si>
    <t>HOLLYWOOD</t>
  </si>
  <si>
    <t xml:space="preserve">FISCAL 2014 YTD ADMISSIONS, PATRONS AND AGR SUMMARY </t>
  </si>
  <si>
    <t>** Harrah's MH was purchased by Penn and rebranded as Hollywood Casino 11/2/12.</t>
  </si>
  <si>
    <t>ST. JO FRONTIER</t>
  </si>
  <si>
    <t xml:space="preserve">   HOLLYWOOD **</t>
  </si>
  <si>
    <t xml:space="preserve"> Harrah's MH was purchased by Penn and rebranded as Hollywood Casino 11/2/12.</t>
  </si>
  <si>
    <t xml:space="preserve">ST. JO FRONTIER </t>
  </si>
  <si>
    <t>HARRAHS MH/HOLLYWOOD **</t>
  </si>
  <si>
    <t>MONTH ENDED:   NOVEMBER 30, 2013</t>
  </si>
  <si>
    <t>(as reported on the tax remittal database dtd 12/9/13)</t>
  </si>
  <si>
    <t>FOR THE MONTH ENDED:   NOVEMBER 30, 2013</t>
  </si>
  <si>
    <t>THRU MONTH ENDED:   NOVEMBER 30, 2013</t>
  </si>
  <si>
    <t>(as reported on the tax remittal database as of 12/9/13)</t>
  </si>
  <si>
    <t>THRU MONTH ENDED:     NOVEMBER 30, 2013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</si>
</sst>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i/>
      <sz val="12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8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9" fillId="33" borderId="11" xfId="0" applyFont="1" applyFill="1" applyBorder="1" applyAlignment="1">
      <alignment horizontal="center"/>
    </xf>
    <xf numFmtId="164" fontId="9" fillId="34" borderId="11" xfId="0" applyFont="1" applyFill="1" applyBorder="1" applyAlignment="1">
      <alignment horizontal="center"/>
    </xf>
    <xf numFmtId="164" fontId="9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10" fillId="33" borderId="13" xfId="0" applyFont="1" applyFill="1" applyBorder="1" applyAlignment="1">
      <alignment horizontal="center"/>
    </xf>
    <xf numFmtId="164" fontId="9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9" fillId="34" borderId="15" xfId="0" applyFont="1" applyFill="1" applyBorder="1" applyAlignment="1">
      <alignment horizontal="center"/>
    </xf>
    <xf numFmtId="164" fontId="11" fillId="0" borderId="10" xfId="0" applyFont="1" applyBorder="1" applyAlignment="1">
      <alignment horizontal="center"/>
    </xf>
    <xf numFmtId="164" fontId="11" fillId="0" borderId="11" xfId="0" applyFont="1" applyBorder="1" applyAlignment="1">
      <alignment horizontal="center"/>
    </xf>
    <xf numFmtId="164" fontId="11" fillId="34" borderId="11" xfId="0" applyFont="1" applyFill="1" applyBorder="1" applyAlignment="1">
      <alignment horizontal="center"/>
    </xf>
    <xf numFmtId="164" fontId="11" fillId="34" borderId="12" xfId="0" applyFont="1" applyFill="1" applyBorder="1" applyAlignment="1">
      <alignment horizontal="center"/>
    </xf>
    <xf numFmtId="166" fontId="10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10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10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10" fillId="34" borderId="11" xfId="0" applyNumberFormat="1" applyFont="1" applyFill="1" applyBorder="1" applyAlignment="1">
      <alignment horizontal="center"/>
    </xf>
    <xf numFmtId="4" fontId="10" fillId="33" borderId="11" xfId="0" applyNumberFormat="1" applyFont="1" applyFill="1" applyBorder="1" applyAlignment="1">
      <alignment horizontal="center"/>
    </xf>
    <xf numFmtId="9" fontId="10" fillId="34" borderId="12" xfId="0" applyNumberFormat="1" applyFont="1" applyFill="1" applyBorder="1" applyAlignment="1">
      <alignment horizontal="center"/>
    </xf>
    <xf numFmtId="166" fontId="10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10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10" fillId="33" borderId="17" xfId="0" applyNumberFormat="1" applyFont="1" applyFill="1" applyBorder="1" applyAlignment="1">
      <alignment horizontal="center"/>
    </xf>
    <xf numFmtId="9" fontId="0" fillId="34" borderId="17" xfId="0" applyNumberFormat="1" applyFont="1" applyFill="1" applyBorder="1" applyAlignment="1">
      <alignment horizontal="center"/>
    </xf>
    <xf numFmtId="9" fontId="10" fillId="34" borderId="17" xfId="0" applyNumberFormat="1" applyFont="1" applyFill="1" applyBorder="1" applyAlignment="1">
      <alignment horizontal="center"/>
    </xf>
    <xf numFmtId="4" fontId="10" fillId="33" borderId="17" xfId="0" applyNumberFormat="1" applyFont="1" applyFill="1" applyBorder="1" applyAlignment="1">
      <alignment horizontal="center"/>
    </xf>
    <xf numFmtId="9" fontId="10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10" fillId="33" borderId="20" xfId="0" applyNumberFormat="1" applyFont="1" applyFill="1" applyBorder="1" applyAlignment="1">
      <alignment horizontal="center"/>
    </xf>
    <xf numFmtId="3" fontId="10" fillId="33" borderId="19" xfId="0" applyNumberFormat="1" applyFont="1" applyFill="1" applyBorder="1" applyAlignment="1">
      <alignment horizontal="center"/>
    </xf>
    <xf numFmtId="9" fontId="10" fillId="34" borderId="20" xfId="0" applyNumberFormat="1" applyFont="1" applyFill="1" applyBorder="1" applyAlignment="1">
      <alignment horizontal="center"/>
    </xf>
    <xf numFmtId="4" fontId="10" fillId="33" borderId="19" xfId="0" applyNumberFormat="1" applyFont="1" applyFill="1" applyBorder="1" applyAlignment="1">
      <alignment horizontal="center"/>
    </xf>
    <xf numFmtId="4" fontId="10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10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10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10" fillId="33" borderId="10" xfId="0" applyNumberFormat="1" applyFont="1" applyFill="1" applyBorder="1" applyAlignment="1">
      <alignment horizontal="center"/>
    </xf>
    <xf numFmtId="164" fontId="10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0" fillId="0" borderId="0" xfId="0" applyFont="1" applyAlignment="1">
      <alignment/>
    </xf>
    <xf numFmtId="17" fontId="0" fillId="0" borderId="0" xfId="0" applyNumberFormat="1" applyFont="1" applyAlignment="1">
      <alignment/>
    </xf>
    <xf numFmtId="0" fontId="12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10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1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10" fillId="0" borderId="23" xfId="55" applyNumberFormat="1" applyFont="1" applyBorder="1" applyAlignment="1">
      <alignment horizontal="center"/>
      <protection/>
    </xf>
    <xf numFmtId="17" fontId="11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2" fillId="0" borderId="0" xfId="55" applyNumberFormat="1" applyFont="1" applyAlignment="1">
      <alignment horizontal="centerContinuous"/>
      <protection/>
    </xf>
    <xf numFmtId="0" fontId="12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1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10" fillId="34" borderId="10" xfId="55" applyNumberFormat="1" applyFont="1" applyFill="1" applyBorder="1" applyAlignment="1">
      <alignment horizontal="center"/>
      <protection/>
    </xf>
    <xf numFmtId="17" fontId="11" fillId="34" borderId="13" xfId="55" applyNumberFormat="1" applyFont="1" applyFill="1" applyBorder="1" applyAlignment="1">
      <alignment horizontal="center"/>
      <protection/>
    </xf>
    <xf numFmtId="0" fontId="11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1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8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10" fillId="33" borderId="11" xfId="54" applyNumberFormat="1" applyFont="1" applyFill="1" applyBorder="1" applyAlignment="1">
      <alignment horizontal="center"/>
      <protection/>
    </xf>
    <xf numFmtId="0" fontId="10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10" fillId="33" borderId="24" xfId="54" applyNumberFormat="1" applyFont="1" applyFill="1" applyBorder="1" applyAlignment="1">
      <alignment horizontal="center"/>
      <protection/>
    </xf>
    <xf numFmtId="0" fontId="10" fillId="33" borderId="25" xfId="54" applyNumberFormat="1" applyFont="1" applyFill="1" applyBorder="1" applyAlignment="1">
      <alignment horizontal="center"/>
      <protection/>
    </xf>
    <xf numFmtId="0" fontId="10" fillId="34" borderId="25" xfId="54" applyNumberFormat="1" applyFont="1" applyFill="1" applyBorder="1" applyAlignment="1">
      <alignment horizontal="center"/>
      <protection/>
    </xf>
    <xf numFmtId="0" fontId="11" fillId="0" borderId="13" xfId="54" applyNumberFormat="1" applyFont="1" applyBorder="1" applyAlignment="1">
      <alignment horizontal="center"/>
      <protection/>
    </xf>
    <xf numFmtId="0" fontId="11" fillId="0" borderId="14" xfId="54" applyNumberFormat="1" applyFont="1" applyBorder="1" applyAlignment="1">
      <alignment horizontal="center"/>
      <protection/>
    </xf>
    <xf numFmtId="0" fontId="11" fillId="34" borderId="14" xfId="54" applyNumberFormat="1" applyFont="1" applyFill="1" applyBorder="1" applyAlignment="1">
      <alignment horizontal="center"/>
      <protection/>
    </xf>
    <xf numFmtId="166" fontId="10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10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10" fillId="34" borderId="11" xfId="54" applyNumberFormat="1" applyFont="1" applyFill="1" applyBorder="1" applyAlignment="1">
      <alignment horizontal="center"/>
      <protection/>
    </xf>
    <xf numFmtId="166" fontId="10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10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10" fillId="34" borderId="17" xfId="54" applyNumberFormat="1" applyFont="1" applyFill="1" applyBorder="1" applyAlignment="1">
      <alignment horizontal="center"/>
      <protection/>
    </xf>
    <xf numFmtId="166" fontId="10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10" fillId="33" borderId="10" xfId="54" applyNumberFormat="1" applyFont="1" applyFill="1" applyBorder="1" applyAlignment="1">
      <alignment horizontal="center"/>
      <protection/>
    </xf>
    <xf numFmtId="4" fontId="10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8" fillId="0" borderId="0" xfId="53" applyNumberFormat="1" applyFont="1" applyAlignment="1">
      <alignment/>
      <protection/>
    </xf>
    <xf numFmtId="0" fontId="10" fillId="33" borderId="10" xfId="53" applyNumberFormat="1" applyFont="1" applyFill="1" applyBorder="1" applyAlignment="1">
      <alignment horizontal="center"/>
      <protection/>
    </xf>
    <xf numFmtId="0" fontId="10" fillId="33" borderId="11" xfId="53" applyNumberFormat="1" applyFont="1" applyFill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10" fillId="33" borderId="13" xfId="53" applyNumberFormat="1" applyFont="1" applyFill="1" applyBorder="1" applyAlignment="1">
      <alignment horizontal="center"/>
      <protection/>
    </xf>
    <xf numFmtId="0" fontId="10" fillId="33" borderId="14" xfId="53" applyNumberFormat="1" applyFont="1" applyFill="1" applyBorder="1" applyAlignment="1">
      <alignment horizontal="center"/>
      <protection/>
    </xf>
    <xf numFmtId="0" fontId="10" fillId="34" borderId="14" xfId="53" applyNumberFormat="1" applyFont="1" applyFill="1" applyBorder="1" applyAlignment="1">
      <alignment horizontal="center"/>
      <protection/>
    </xf>
    <xf numFmtId="0" fontId="11" fillId="0" borderId="10" xfId="53" applyNumberFormat="1" applyFont="1" applyBorder="1" applyAlignment="1">
      <alignment horizontal="center"/>
      <protection/>
    </xf>
    <xf numFmtId="0" fontId="11" fillId="0" borderId="11" xfId="53" applyNumberFormat="1" applyFont="1" applyBorder="1" applyAlignment="1">
      <alignment horizontal="center"/>
      <protection/>
    </xf>
    <xf numFmtId="0" fontId="11" fillId="34" borderId="11" xfId="53" applyNumberFormat="1" applyFont="1" applyFill="1" applyBorder="1" applyAlignment="1">
      <alignment horizontal="center"/>
      <protection/>
    </xf>
    <xf numFmtId="166" fontId="10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10" fillId="33" borderId="10" xfId="53" applyNumberFormat="1" applyFont="1" applyFill="1" applyBorder="1" applyAlignment="1">
      <alignment/>
      <protection/>
    </xf>
    <xf numFmtId="9" fontId="10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10" fillId="33" borderId="16" xfId="53" applyNumberFormat="1" applyFont="1" applyFill="1" applyBorder="1" applyAlignment="1">
      <alignment/>
      <protection/>
    </xf>
    <xf numFmtId="0" fontId="10" fillId="33" borderId="17" xfId="53" applyNumberFormat="1" applyFont="1" applyFill="1" applyBorder="1" applyAlignment="1">
      <alignment horizontal="center"/>
      <protection/>
    </xf>
    <xf numFmtId="9" fontId="10" fillId="34" borderId="17" xfId="53" applyNumberFormat="1" applyFont="1" applyFill="1" applyBorder="1" applyAlignment="1">
      <alignment horizontal="center"/>
      <protection/>
    </xf>
    <xf numFmtId="0" fontId="10" fillId="0" borderId="13" xfId="53" applyNumberFormat="1" applyFont="1" applyBorder="1" applyAlignment="1">
      <alignment/>
      <protection/>
    </xf>
    <xf numFmtId="17" fontId="10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10" fillId="33" borderId="21" xfId="53" applyNumberFormat="1" applyFont="1" applyFill="1" applyBorder="1" applyAlignment="1">
      <alignment/>
      <protection/>
    </xf>
    <xf numFmtId="0" fontId="10" fillId="33" borderId="19" xfId="53" applyNumberFormat="1" applyFont="1" applyFill="1" applyBorder="1" applyAlignment="1">
      <alignment horizontal="center"/>
      <protection/>
    </xf>
    <xf numFmtId="166" fontId="10" fillId="33" borderId="10" xfId="53" applyNumberFormat="1" applyFont="1" applyFill="1" applyBorder="1" applyAlignment="1">
      <alignment horizontal="center"/>
      <protection/>
    </xf>
    <xf numFmtId="166" fontId="10" fillId="0" borderId="22" xfId="53" applyNumberFormat="1" applyFont="1" applyBorder="1" applyAlignment="1">
      <alignment/>
      <protection/>
    </xf>
    <xf numFmtId="0" fontId="10" fillId="0" borderId="22" xfId="53" applyNumberFormat="1" applyFont="1" applyBorder="1" applyAlignment="1">
      <alignment horizontal="center"/>
      <protection/>
    </xf>
    <xf numFmtId="4" fontId="10" fillId="0" borderId="22" xfId="53" applyNumberFormat="1" applyFont="1" applyBorder="1" applyAlignment="1">
      <alignment horizontal="center"/>
      <protection/>
    </xf>
    <xf numFmtId="0" fontId="13" fillId="0" borderId="0" xfId="53" applyNumberFormat="1" applyFont="1" applyAlignment="1">
      <alignment/>
      <protection/>
    </xf>
    <xf numFmtId="17" fontId="10" fillId="0" borderId="0" xfId="53" applyNumberFormat="1" applyFont="1" applyAlignment="1">
      <alignment horizontal="center"/>
      <protection/>
    </xf>
    <xf numFmtId="4" fontId="10" fillId="0" borderId="0" xfId="53" applyNumberFormat="1" applyFont="1" applyAlignment="1">
      <alignment horizontal="center"/>
      <protection/>
    </xf>
    <xf numFmtId="0" fontId="10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9" fillId="33" borderId="11" xfId="0" applyNumberFormat="1" applyFont="1" applyFill="1" applyBorder="1" applyAlignment="1">
      <alignment horizontal="center"/>
    </xf>
    <xf numFmtId="3" fontId="9" fillId="33" borderId="14" xfId="0" applyNumberFormat="1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10" fillId="33" borderId="11" xfId="54" applyNumberFormat="1" applyFont="1" applyFill="1" applyBorder="1" applyAlignment="1">
      <alignment horizontal="center"/>
      <protection/>
    </xf>
    <xf numFmtId="3" fontId="10" fillId="33" borderId="25" xfId="54" applyNumberFormat="1" applyFont="1" applyFill="1" applyBorder="1" applyAlignment="1">
      <alignment horizontal="center"/>
      <protection/>
    </xf>
    <xf numFmtId="3" fontId="11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10" fillId="33" borderId="17" xfId="54" applyNumberFormat="1" applyFont="1" applyFill="1" applyBorder="1" applyAlignment="1">
      <alignment horizontal="center"/>
      <protection/>
    </xf>
    <xf numFmtId="3" fontId="10" fillId="33" borderId="19" xfId="54" applyNumberFormat="1" applyFont="1" applyFill="1" applyBorder="1" applyAlignment="1">
      <alignment horizontal="center"/>
      <protection/>
    </xf>
    <xf numFmtId="3" fontId="10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10" fillId="0" borderId="0" xfId="54" applyNumberFormat="1" applyFont="1" applyAlignment="1">
      <alignment horizontal="center"/>
      <protection/>
    </xf>
    <xf numFmtId="167" fontId="10" fillId="33" borderId="11" xfId="54" applyNumberFormat="1" applyFont="1" applyFill="1" applyBorder="1" applyAlignment="1">
      <alignment horizontal="center"/>
      <protection/>
    </xf>
    <xf numFmtId="167" fontId="10" fillId="33" borderId="26" xfId="54" applyNumberFormat="1" applyFont="1" applyFill="1" applyBorder="1" applyAlignment="1">
      <alignment horizontal="center"/>
      <protection/>
    </xf>
    <xf numFmtId="167" fontId="11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10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10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10" fillId="33" borderId="11" xfId="53" applyNumberFormat="1" applyFont="1" applyFill="1" applyBorder="1" applyAlignment="1">
      <alignment horizontal="center"/>
      <protection/>
    </xf>
    <xf numFmtId="3" fontId="10" fillId="33" borderId="14" xfId="53" applyNumberFormat="1" applyFont="1" applyFill="1" applyBorder="1" applyAlignment="1">
      <alignment horizontal="center"/>
      <protection/>
    </xf>
    <xf numFmtId="3" fontId="11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10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10" fillId="33" borderId="19" xfId="53" applyNumberFormat="1" applyFont="1" applyFill="1" applyBorder="1" applyAlignment="1">
      <alignment horizontal="center"/>
      <protection/>
    </xf>
    <xf numFmtId="3" fontId="10" fillId="0" borderId="22" xfId="53" applyNumberFormat="1" applyFont="1" applyBorder="1" applyAlignment="1">
      <alignment horizontal="center"/>
      <protection/>
    </xf>
    <xf numFmtId="3" fontId="10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10" fillId="0" borderId="0" xfId="53" applyNumberFormat="1" applyFont="1" applyAlignment="1">
      <alignment horizontal="centerContinuous"/>
      <protection/>
    </xf>
    <xf numFmtId="167" fontId="10" fillId="33" borderId="11" xfId="53" applyNumberFormat="1" applyFont="1" applyFill="1" applyBorder="1" applyAlignment="1">
      <alignment horizontal="center"/>
      <protection/>
    </xf>
    <xf numFmtId="167" fontId="10" fillId="33" borderId="12" xfId="53" applyNumberFormat="1" applyFont="1" applyFill="1" applyBorder="1" applyAlignment="1">
      <alignment horizontal="center"/>
      <protection/>
    </xf>
    <xf numFmtId="167" fontId="10" fillId="33" borderId="14" xfId="53" applyNumberFormat="1" applyFont="1" applyFill="1" applyBorder="1" applyAlignment="1">
      <alignment horizontal="center"/>
      <protection/>
    </xf>
    <xf numFmtId="167" fontId="11" fillId="0" borderId="11" xfId="53" applyNumberFormat="1" applyFont="1" applyBorder="1" applyAlignment="1">
      <alignment horizontal="center"/>
      <protection/>
    </xf>
    <xf numFmtId="167" fontId="11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10" fillId="33" borderId="17" xfId="53" applyNumberFormat="1" applyFont="1" applyFill="1" applyBorder="1" applyAlignment="1">
      <alignment horizontal="center"/>
      <protection/>
    </xf>
    <xf numFmtId="167" fontId="10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10" fillId="33" borderId="19" xfId="53" applyNumberFormat="1" applyFont="1" applyFill="1" applyBorder="1" applyAlignment="1">
      <alignment horizontal="center"/>
      <protection/>
    </xf>
    <xf numFmtId="167" fontId="10" fillId="0" borderId="22" xfId="53" applyNumberFormat="1" applyFont="1" applyBorder="1" applyAlignment="1">
      <alignment horizontal="center"/>
      <protection/>
    </xf>
    <xf numFmtId="167" fontId="10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10" fillId="33" borderId="12" xfId="53" applyNumberFormat="1" applyFont="1" applyFill="1" applyBorder="1" applyAlignment="1">
      <alignment/>
      <protection/>
    </xf>
    <xf numFmtId="167" fontId="10" fillId="33" borderId="15" xfId="53" applyNumberFormat="1" applyFont="1" applyFill="1" applyBorder="1" applyAlignment="1">
      <alignment/>
      <protection/>
    </xf>
    <xf numFmtId="166" fontId="10" fillId="0" borderId="27" xfId="54" applyNumberFormat="1" applyFont="1" applyBorder="1" applyAlignment="1">
      <alignment/>
      <protection/>
    </xf>
    <xf numFmtId="166" fontId="10" fillId="0" borderId="0" xfId="53" applyNumberFormat="1" applyFont="1" applyBorder="1" applyAlignment="1">
      <alignment/>
      <protection/>
    </xf>
    <xf numFmtId="167" fontId="10" fillId="0" borderId="0" xfId="53" applyNumberFormat="1" applyFont="1" applyBorder="1" applyAlignment="1">
      <alignment horizontal="center"/>
      <protection/>
    </xf>
    <xf numFmtId="0" fontId="10" fillId="0" borderId="0" xfId="53" applyNumberFormat="1" applyFont="1" applyBorder="1" applyAlignment="1">
      <alignment horizontal="center"/>
      <protection/>
    </xf>
    <xf numFmtId="3" fontId="10" fillId="0" borderId="0" xfId="53" applyNumberFormat="1" applyFont="1" applyBorder="1" applyAlignment="1">
      <alignment horizontal="center"/>
      <protection/>
    </xf>
    <xf numFmtId="4" fontId="10" fillId="0" borderId="0" xfId="53" applyNumberFormat="1" applyFont="1" applyBorder="1" applyAlignment="1">
      <alignment horizontal="center"/>
      <protection/>
    </xf>
    <xf numFmtId="164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10" fillId="33" borderId="20" xfId="54" applyNumberFormat="1" applyFont="1" applyFill="1" applyBorder="1" applyAlignment="1">
      <alignment horizontal="center"/>
      <protection/>
    </xf>
    <xf numFmtId="3" fontId="10" fillId="33" borderId="28" xfId="54" applyNumberFormat="1" applyFont="1" applyFill="1" applyBorder="1" applyAlignment="1">
      <alignment horizontal="center"/>
      <protection/>
    </xf>
    <xf numFmtId="166" fontId="13" fillId="0" borderId="0" xfId="54" applyNumberFormat="1" applyFont="1" applyAlignment="1">
      <alignment/>
      <protection/>
    </xf>
    <xf numFmtId="166" fontId="13" fillId="0" borderId="0" xfId="0" applyNumberFormat="1" applyFont="1" applyAlignment="1">
      <alignment/>
    </xf>
    <xf numFmtId="166" fontId="10" fillId="33" borderId="16" xfId="54" applyNumberFormat="1" applyFont="1" applyFill="1" applyBorder="1" applyAlignment="1">
      <alignment horizontal="center"/>
      <protection/>
    </xf>
    <xf numFmtId="0" fontId="10" fillId="33" borderId="17" xfId="54" applyNumberFormat="1" applyFont="1" applyFill="1" applyBorder="1" applyAlignment="1">
      <alignment horizontal="center"/>
      <protection/>
    </xf>
    <xf numFmtId="167" fontId="10" fillId="33" borderId="29" xfId="54" applyNumberFormat="1" applyFont="1" applyFill="1" applyBorder="1" applyAlignment="1">
      <alignment horizontal="center"/>
      <protection/>
    </xf>
    <xf numFmtId="9" fontId="10" fillId="34" borderId="19" xfId="54" applyNumberFormat="1" applyFont="1" applyFill="1" applyBorder="1" applyAlignment="1">
      <alignment horizontal="center"/>
      <protection/>
    </xf>
    <xf numFmtId="9" fontId="10" fillId="34" borderId="30" xfId="54" applyNumberFormat="1" applyFont="1" applyFill="1" applyBorder="1" applyAlignment="1">
      <alignment horizontal="center"/>
      <protection/>
    </xf>
    <xf numFmtId="167" fontId="10" fillId="33" borderId="29" xfId="53" applyNumberFormat="1" applyFont="1" applyFill="1" applyBorder="1" applyAlignment="1">
      <alignment horizontal="center"/>
      <protection/>
    </xf>
    <xf numFmtId="3" fontId="10" fillId="33" borderId="20" xfId="53" applyNumberFormat="1" applyFont="1" applyFill="1" applyBorder="1" applyAlignment="1">
      <alignment horizontal="center"/>
      <protection/>
    </xf>
    <xf numFmtId="9" fontId="10" fillId="34" borderId="19" xfId="53" applyNumberFormat="1" applyFont="1" applyFill="1" applyBorder="1" applyAlignment="1">
      <alignment horizontal="center"/>
      <protection/>
    </xf>
    <xf numFmtId="166" fontId="10" fillId="33" borderId="13" xfId="0" applyNumberFormat="1" applyFont="1" applyFill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0" borderId="13" xfId="0" applyNumberFormat="1" applyFont="1" applyBorder="1" applyAlignment="1">
      <alignment/>
    </xf>
    <xf numFmtId="4" fontId="0" fillId="0" borderId="0" xfId="55" applyNumberFormat="1" applyFont="1" applyBorder="1" applyAlignment="1">
      <alignment horizontal="center"/>
      <protection/>
    </xf>
    <xf numFmtId="0" fontId="11" fillId="34" borderId="13" xfId="55" applyFont="1" applyFill="1" applyBorder="1" applyAlignment="1">
      <alignment horizontal="center"/>
      <protection/>
    </xf>
    <xf numFmtId="0" fontId="10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3" fontId="0" fillId="0" borderId="14" xfId="54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9"/>
  <sheetViews>
    <sheetView tabSelected="1" showOutlineSymbols="0" zoomScalePageLayoutView="0" workbookViewId="0" topLeftCell="A1">
      <selection activeCell="A1" sqref="A1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202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5"/>
      <c r="L1" s="195"/>
      <c r="M1" s="2"/>
      <c r="N1" s="2"/>
      <c r="O1" s="2"/>
      <c r="P1" s="2"/>
      <c r="Q1" s="2"/>
      <c r="R1" s="2"/>
    </row>
    <row r="2" spans="1:18" ht="18" customHeight="1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5"/>
      <c r="L2" s="195"/>
      <c r="M2" s="2"/>
      <c r="N2" s="2"/>
      <c r="O2" s="2"/>
      <c r="P2" s="2"/>
      <c r="Q2" s="2"/>
      <c r="R2" s="2"/>
    </row>
    <row r="3" spans="1:18" ht="18">
      <c r="A3" s="284" t="s">
        <v>75</v>
      </c>
      <c r="B3" s="2"/>
      <c r="C3" s="2"/>
      <c r="D3" s="2"/>
      <c r="E3" s="2"/>
      <c r="F3" s="2"/>
      <c r="G3" s="2"/>
      <c r="H3" s="2"/>
      <c r="I3" s="2"/>
      <c r="J3" s="2"/>
      <c r="K3" s="195"/>
      <c r="L3" s="195"/>
      <c r="M3" s="2"/>
      <c r="N3" s="2"/>
      <c r="O3" s="2"/>
      <c r="P3" s="2"/>
      <c r="Q3" s="2"/>
      <c r="R3" s="2"/>
    </row>
    <row r="4" spans="1:18" ht="15">
      <c r="A4" s="285" t="s">
        <v>76</v>
      </c>
      <c r="B4" s="2"/>
      <c r="C4" s="2"/>
      <c r="D4" s="2"/>
      <c r="E4" s="2"/>
      <c r="F4" s="2"/>
      <c r="G4" s="2"/>
      <c r="H4" s="2"/>
      <c r="I4" s="2"/>
      <c r="J4" s="2"/>
      <c r="K4" s="195"/>
      <c r="L4" s="195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5"/>
      <c r="L5" s="195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6" t="s">
        <v>1</v>
      </c>
      <c r="L6" s="196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7" t="s">
        <v>12</v>
      </c>
      <c r="L7" s="197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8"/>
      <c r="L8" s="198"/>
      <c r="M8" s="18"/>
      <c r="N8" s="10"/>
      <c r="R8" s="2"/>
    </row>
    <row r="9" spans="1:18" ht="15.75">
      <c r="A9" s="19" t="s">
        <v>13</v>
      </c>
      <c r="B9" s="20">
        <f>DATE(2013,7,1)</f>
        <v>41456</v>
      </c>
      <c r="C9" s="21">
        <v>319716</v>
      </c>
      <c r="D9" s="22">
        <v>338988</v>
      </c>
      <c r="E9" s="23">
        <f>(+C9-D9)/D9</f>
        <v>-0.05685156996707848</v>
      </c>
      <c r="F9" s="21">
        <f>+C9-157523</f>
        <v>162193</v>
      </c>
      <c r="G9" s="21">
        <f>+D9-174588</f>
        <v>164400</v>
      </c>
      <c r="H9" s="23">
        <f>(+F9-G9)/G9</f>
        <v>-0.013424574209245742</v>
      </c>
      <c r="I9" s="24">
        <f>K9/C9</f>
        <v>39.26101427516921</v>
      </c>
      <c r="J9" s="24">
        <f>K9/F9</f>
        <v>77.39159174563636</v>
      </c>
      <c r="K9" s="21">
        <v>12552374.44</v>
      </c>
      <c r="L9" s="21">
        <v>12683870.45</v>
      </c>
      <c r="M9" s="25">
        <f>(+K9-L9)/L9</f>
        <v>-0.01036718330720571</v>
      </c>
      <c r="N9" s="10"/>
      <c r="R9" s="2"/>
    </row>
    <row r="10" spans="1:18" ht="15.75">
      <c r="A10" s="19"/>
      <c r="B10" s="20">
        <f>DATE(2013,8,1)</f>
        <v>41487</v>
      </c>
      <c r="C10" s="21">
        <v>316432</v>
      </c>
      <c r="D10" s="22">
        <v>343379</v>
      </c>
      <c r="E10" s="23">
        <f>(+C10-D10)/D10</f>
        <v>-0.07847596970111742</v>
      </c>
      <c r="F10" s="21">
        <f>+C10-153574</f>
        <v>162858</v>
      </c>
      <c r="G10" s="21">
        <f>+D10-179004</f>
        <v>164375</v>
      </c>
      <c r="H10" s="23">
        <f>(+F10-G10)/G10</f>
        <v>-0.009228897338403041</v>
      </c>
      <c r="I10" s="24">
        <f>K10/C10</f>
        <v>39.88611591115943</v>
      </c>
      <c r="J10" s="24">
        <f>K10/F10</f>
        <v>77.49845528005993</v>
      </c>
      <c r="K10" s="21">
        <v>12621243.43</v>
      </c>
      <c r="L10" s="21">
        <v>12865659.28</v>
      </c>
      <c r="M10" s="25">
        <f>(+K10-L10)/L10</f>
        <v>-0.01899753791707747</v>
      </c>
      <c r="N10" s="10"/>
      <c r="R10" s="2"/>
    </row>
    <row r="11" spans="1:18" ht="15.75">
      <c r="A11" s="19"/>
      <c r="B11" s="20">
        <f>DATE(2013,9,1)</f>
        <v>41518</v>
      </c>
      <c r="C11" s="21">
        <v>282340</v>
      </c>
      <c r="D11" s="22">
        <v>332134</v>
      </c>
      <c r="E11" s="23">
        <f>(+C11-D11)/D11</f>
        <v>-0.14992141725929894</v>
      </c>
      <c r="F11" s="21">
        <f>C11-139729</f>
        <v>142611</v>
      </c>
      <c r="G11" s="21">
        <f>D11-170308</f>
        <v>161826</v>
      </c>
      <c r="H11" s="23">
        <f>(+F11-G11)/G11</f>
        <v>-0.11873864521152348</v>
      </c>
      <c r="I11" s="24">
        <f>K11/C11</f>
        <v>40.14087019196713</v>
      </c>
      <c r="J11" s="24">
        <f>K11/F11</f>
        <v>79.47054077174973</v>
      </c>
      <c r="K11" s="21">
        <v>11333373.29</v>
      </c>
      <c r="L11" s="21">
        <v>12696690.11</v>
      </c>
      <c r="M11" s="25">
        <f>(+K11-L11)/L11</f>
        <v>-0.1073757655096459</v>
      </c>
      <c r="N11" s="10"/>
      <c r="R11" s="2"/>
    </row>
    <row r="12" spans="1:18" ht="15.75">
      <c r="A12" s="19"/>
      <c r="B12" s="20">
        <f>DATE(2013,10,1)</f>
        <v>41548</v>
      </c>
      <c r="C12" s="21">
        <v>268334</v>
      </c>
      <c r="D12" s="22">
        <v>328078</v>
      </c>
      <c r="E12" s="23">
        <f>(+C12-D12)/D12</f>
        <v>-0.18210303647303386</v>
      </c>
      <c r="F12" s="21">
        <f>C12-130186</f>
        <v>138148</v>
      </c>
      <c r="G12" s="21">
        <f>D12-172329</f>
        <v>155749</v>
      </c>
      <c r="H12" s="23">
        <f>(+F12-G12)/G12</f>
        <v>-0.11300875126004019</v>
      </c>
      <c r="I12" s="24">
        <f>K12/C12</f>
        <v>41.4701356145699</v>
      </c>
      <c r="J12" s="24">
        <f>K12/F12</f>
        <v>80.55018798679676</v>
      </c>
      <c r="K12" s="21">
        <v>11127847.37</v>
      </c>
      <c r="L12" s="21">
        <v>12197955.87</v>
      </c>
      <c r="M12" s="25">
        <f>(+K12-L12)/L12</f>
        <v>-0.08772851053116656</v>
      </c>
      <c r="N12" s="10"/>
      <c r="R12" s="2"/>
    </row>
    <row r="13" spans="1:18" ht="15.75">
      <c r="A13" s="19"/>
      <c r="B13" s="20">
        <f>DATE(2013,11,1)</f>
        <v>41579</v>
      </c>
      <c r="C13" s="21">
        <v>267883</v>
      </c>
      <c r="D13" s="22">
        <v>321761</v>
      </c>
      <c r="E13" s="23">
        <f>(+C13-D13)/D13</f>
        <v>-0.16744726676011076</v>
      </c>
      <c r="F13" s="21">
        <f>+C13-131464</f>
        <v>136419</v>
      </c>
      <c r="G13" s="21">
        <f>+D13-166804</f>
        <v>154957</v>
      </c>
      <c r="H13" s="23">
        <f>(+F13-G13)/G13</f>
        <v>-0.11963318856198817</v>
      </c>
      <c r="I13" s="24">
        <f>K13/C13</f>
        <v>43.67917060806397</v>
      </c>
      <c r="J13" s="24">
        <f>K13/F13</f>
        <v>85.7718298770699</v>
      </c>
      <c r="K13" s="21">
        <v>11700907.26</v>
      </c>
      <c r="L13" s="21">
        <v>12058698.33</v>
      </c>
      <c r="M13" s="25">
        <f>(+K13-L13)/L13</f>
        <v>-0.029670787029299563</v>
      </c>
      <c r="N13" s="10"/>
      <c r="R13" s="2"/>
    </row>
    <row r="14" spans="1:18" ht="15.75" customHeight="1" thickBot="1">
      <c r="A14" s="19"/>
      <c r="B14" s="20"/>
      <c r="C14" s="21"/>
      <c r="D14" s="21"/>
      <c r="E14" s="23"/>
      <c r="F14" s="21"/>
      <c r="G14" s="21"/>
      <c r="H14" s="23"/>
      <c r="I14" s="24"/>
      <c r="J14" s="24"/>
      <c r="K14" s="21"/>
      <c r="L14" s="21"/>
      <c r="M14" s="25"/>
      <c r="N14" s="10"/>
      <c r="R14" s="2"/>
    </row>
    <row r="15" spans="1:18" ht="17.25" thickBot="1" thickTop="1">
      <c r="A15" s="26" t="s">
        <v>14</v>
      </c>
      <c r="B15" s="27"/>
      <c r="C15" s="28">
        <f>SUM(C9:C14)</f>
        <v>1454705</v>
      </c>
      <c r="D15" s="28">
        <f>SUM(D9:D14)</f>
        <v>1664340</v>
      </c>
      <c r="E15" s="29">
        <f>(+C15-D15)/D15</f>
        <v>-0.1259568357426968</v>
      </c>
      <c r="F15" s="28">
        <f>SUM(F9:F14)</f>
        <v>742229</v>
      </c>
      <c r="G15" s="28">
        <f>SUM(G9:G14)</f>
        <v>801307</v>
      </c>
      <c r="H15" s="30">
        <f>(+F15-G15)/G15</f>
        <v>-0.07372704843461994</v>
      </c>
      <c r="I15" s="31">
        <f>K15/C15</f>
        <v>40.78885120350861</v>
      </c>
      <c r="J15" s="31">
        <f>K15/F15</f>
        <v>79.94264006122098</v>
      </c>
      <c r="K15" s="28">
        <f>SUM(K9:K14)</f>
        <v>59335745.78999999</v>
      </c>
      <c r="L15" s="28">
        <f>SUM(L9:L14)</f>
        <v>62502874.03999999</v>
      </c>
      <c r="M15" s="32">
        <f>(+K15-L15)/L15</f>
        <v>-0.05067172187911122</v>
      </c>
      <c r="N15" s="10"/>
      <c r="R15" s="2"/>
    </row>
    <row r="16" spans="1:18" ht="15.75" customHeight="1" thickTop="1">
      <c r="A16" s="15"/>
      <c r="B16" s="16"/>
      <c r="C16" s="16"/>
      <c r="D16" s="16"/>
      <c r="E16" s="17"/>
      <c r="F16" s="16"/>
      <c r="G16" s="16"/>
      <c r="H16" s="17"/>
      <c r="I16" s="16"/>
      <c r="J16" s="16"/>
      <c r="K16" s="198"/>
      <c r="L16" s="198"/>
      <c r="M16" s="18"/>
      <c r="N16" s="10"/>
      <c r="R16" s="2"/>
    </row>
    <row r="17" spans="1:18" ht="15.75">
      <c r="A17" s="19" t="s">
        <v>15</v>
      </c>
      <c r="B17" s="20">
        <f>DATE(2013,7,1)</f>
        <v>41456</v>
      </c>
      <c r="C17" s="21">
        <v>167462</v>
      </c>
      <c r="D17" s="21">
        <v>205569</v>
      </c>
      <c r="E17" s="23">
        <f>(+C17-D17)/D17</f>
        <v>-0.18537328099081088</v>
      </c>
      <c r="F17" s="21">
        <f>+C17-80491</f>
        <v>86971</v>
      </c>
      <c r="G17" s="21">
        <f>+D17-99777</f>
        <v>105792</v>
      </c>
      <c r="H17" s="23">
        <f>(+F17-G17)/G17</f>
        <v>-0.17790570175438597</v>
      </c>
      <c r="I17" s="24">
        <f>K17/C17</f>
        <v>38.59687744085225</v>
      </c>
      <c r="J17" s="24">
        <f>K17/F17</f>
        <v>74.31799438893424</v>
      </c>
      <c r="K17" s="21">
        <v>6463510.29</v>
      </c>
      <c r="L17" s="21">
        <v>7431679.46</v>
      </c>
      <c r="M17" s="25">
        <f>(+K17-L17)/L17</f>
        <v>-0.13027595918406307</v>
      </c>
      <c r="N17" s="10"/>
      <c r="R17" s="2"/>
    </row>
    <row r="18" spans="1:18" ht="15.75">
      <c r="A18" s="19"/>
      <c r="B18" s="20">
        <f>DATE(2013,8,1)</f>
        <v>41487</v>
      </c>
      <c r="C18" s="21">
        <v>180814</v>
      </c>
      <c r="D18" s="21">
        <v>196385</v>
      </c>
      <c r="E18" s="23">
        <f>(+C18-D18)/D18</f>
        <v>-0.07928813300404818</v>
      </c>
      <c r="F18" s="21">
        <f>+C18-88497</f>
        <v>92317</v>
      </c>
      <c r="G18" s="21">
        <f>+D18-96702</f>
        <v>99683</v>
      </c>
      <c r="H18" s="23">
        <f>(+F18-G18)/G18</f>
        <v>-0.07389424475587612</v>
      </c>
      <c r="I18" s="24">
        <f>K18/C18</f>
        <v>39.807706151072374</v>
      </c>
      <c r="J18" s="24">
        <f>K18/F18</f>
        <v>77.96820282288202</v>
      </c>
      <c r="K18" s="21">
        <v>7197790.58</v>
      </c>
      <c r="L18" s="21">
        <v>7366328.8</v>
      </c>
      <c r="M18" s="25">
        <f>(+K18-L18)/L18</f>
        <v>-0.022879540755769652</v>
      </c>
      <c r="N18" s="10"/>
      <c r="R18" s="2"/>
    </row>
    <row r="19" spans="1:18" ht="15.75">
      <c r="A19" s="19"/>
      <c r="B19" s="20">
        <f>DATE(2013,9,1)</f>
        <v>41518</v>
      </c>
      <c r="C19" s="21">
        <v>166343</v>
      </c>
      <c r="D19" s="21">
        <v>186040</v>
      </c>
      <c r="E19" s="23">
        <f>(+C19-D19)/D19</f>
        <v>-0.10587508062782197</v>
      </c>
      <c r="F19" s="21">
        <f>C19-79764</f>
        <v>86579</v>
      </c>
      <c r="G19" s="21">
        <f>D19-92289</f>
        <v>93751</v>
      </c>
      <c r="H19" s="23">
        <f>(+F19-G19)/G19</f>
        <v>-0.07650051732781517</v>
      </c>
      <c r="I19" s="24">
        <f>K19/C19</f>
        <v>40.297414018023005</v>
      </c>
      <c r="J19" s="24">
        <f>K19/F19</f>
        <v>77.42284780373994</v>
      </c>
      <c r="K19" s="21">
        <v>6703192.74</v>
      </c>
      <c r="L19" s="21">
        <v>6993206.55</v>
      </c>
      <c r="M19" s="25">
        <f>(+K19-L19)/L19</f>
        <v>-0.04147079139254075</v>
      </c>
      <c r="N19" s="10"/>
      <c r="R19" s="2"/>
    </row>
    <row r="20" spans="1:18" ht="15.75">
      <c r="A20" s="19"/>
      <c r="B20" s="20">
        <f>DATE(2013,10,1)</f>
        <v>41548</v>
      </c>
      <c r="C20" s="21">
        <v>153874</v>
      </c>
      <c r="D20" s="21">
        <v>169773</v>
      </c>
      <c r="E20" s="23">
        <f>(+C20-D20)/D20</f>
        <v>-0.09364857780683619</v>
      </c>
      <c r="F20" s="21">
        <f>C20-73933</f>
        <v>79941</v>
      </c>
      <c r="G20" s="21">
        <f>D20-83037</f>
        <v>86736</v>
      </c>
      <c r="H20" s="23">
        <f>(+F20-G20)/G20</f>
        <v>-0.07834117321527394</v>
      </c>
      <c r="I20" s="24">
        <f>K20/C20</f>
        <v>40.05519554960552</v>
      </c>
      <c r="J20" s="24">
        <f>K20/F20</f>
        <v>77.10002576900465</v>
      </c>
      <c r="K20" s="21">
        <v>6163453.16</v>
      </c>
      <c r="L20" s="21">
        <v>6603926.78</v>
      </c>
      <c r="M20" s="25">
        <f>(+K20-L20)/L20</f>
        <v>-0.06669874374349137</v>
      </c>
      <c r="N20" s="10"/>
      <c r="R20" s="2"/>
    </row>
    <row r="21" spans="1:18" ht="15.75">
      <c r="A21" s="19"/>
      <c r="B21" s="20">
        <f>DATE(2013,11,1)</f>
        <v>41579</v>
      </c>
      <c r="C21" s="21">
        <v>157999</v>
      </c>
      <c r="D21" s="21">
        <v>166841</v>
      </c>
      <c r="E21" s="23">
        <f>(+C21-D21)/D21</f>
        <v>-0.05299656559239036</v>
      </c>
      <c r="F21" s="21">
        <f>+C21-76350</f>
        <v>81649</v>
      </c>
      <c r="G21" s="21">
        <f>+D21-82575</f>
        <v>84266</v>
      </c>
      <c r="H21" s="23">
        <f>(+F21-G21)/G21</f>
        <v>-0.031056416585574252</v>
      </c>
      <c r="I21" s="24">
        <f>K21/C21</f>
        <v>42.198343786985994</v>
      </c>
      <c r="J21" s="24">
        <f>K21/F21</f>
        <v>81.65802545040356</v>
      </c>
      <c r="K21" s="21">
        <v>6667296.12</v>
      </c>
      <c r="L21" s="21">
        <v>6453693.23</v>
      </c>
      <c r="M21" s="25">
        <f>(+K21-L21)/L21</f>
        <v>0.03309777555076005</v>
      </c>
      <c r="N21" s="10"/>
      <c r="R21" s="2"/>
    </row>
    <row r="22" spans="1:18" ht="15.75" customHeight="1" thickBot="1">
      <c r="A22" s="19"/>
      <c r="B22" s="20"/>
      <c r="C22" s="21"/>
      <c r="D22" s="21"/>
      <c r="E22" s="23"/>
      <c r="F22" s="21"/>
      <c r="G22" s="21"/>
      <c r="H22" s="23"/>
      <c r="I22" s="24"/>
      <c r="J22" s="24"/>
      <c r="K22" s="21"/>
      <c r="L22" s="21"/>
      <c r="M22" s="25"/>
      <c r="N22" s="10"/>
      <c r="R22" s="2"/>
    </row>
    <row r="23" spans="1:18" ht="17.25" customHeight="1" thickBot="1" thickTop="1">
      <c r="A23" s="26" t="s">
        <v>14</v>
      </c>
      <c r="B23" s="27"/>
      <c r="C23" s="28">
        <f>SUM(C17:C22)</f>
        <v>826492</v>
      </c>
      <c r="D23" s="28">
        <f>SUM(D17:D22)</f>
        <v>924608</v>
      </c>
      <c r="E23" s="29">
        <f>(+C23-D23)/D23</f>
        <v>-0.10611632172769433</v>
      </c>
      <c r="F23" s="28">
        <f>SUM(F17:F22)</f>
        <v>427457</v>
      </c>
      <c r="G23" s="28">
        <f>SUM(G17:G22)</f>
        <v>470228</v>
      </c>
      <c r="H23" s="30">
        <f>(+F23-G23)/G23</f>
        <v>-0.09095800335156562</v>
      </c>
      <c r="I23" s="31">
        <f>K23/C23</f>
        <v>40.164022023201674</v>
      </c>
      <c r="J23" s="31">
        <f>K23/F23</f>
        <v>77.65750213471765</v>
      </c>
      <c r="K23" s="28">
        <f>SUM(K17:K22)</f>
        <v>33195242.89</v>
      </c>
      <c r="L23" s="28">
        <f>SUM(L17:L22)</f>
        <v>34848834.82</v>
      </c>
      <c r="M23" s="32">
        <f>(+K23-L23)/L23</f>
        <v>-0.04745042233236996</v>
      </c>
      <c r="N23" s="10"/>
      <c r="R23" s="2"/>
    </row>
    <row r="24" spans="1:18" ht="15.75" customHeight="1" thickTop="1">
      <c r="A24" s="33"/>
      <c r="B24" s="34"/>
      <c r="C24" s="35"/>
      <c r="D24" s="35"/>
      <c r="E24" s="29"/>
      <c r="F24" s="35"/>
      <c r="G24" s="35"/>
      <c r="H24" s="29"/>
      <c r="I24" s="36"/>
      <c r="J24" s="36"/>
      <c r="K24" s="35"/>
      <c r="L24" s="35"/>
      <c r="M24" s="37"/>
      <c r="N24" s="10"/>
      <c r="R24" s="2"/>
    </row>
    <row r="25" spans="1:18" ht="15.75" customHeight="1">
      <c r="A25" s="19" t="s">
        <v>56</v>
      </c>
      <c r="B25" s="20">
        <f>DATE(2013,7,1)</f>
        <v>41456</v>
      </c>
      <c r="C25" s="21">
        <v>75211</v>
      </c>
      <c r="D25" s="21">
        <v>87611</v>
      </c>
      <c r="E25" s="23">
        <f>(+C25-D25)/D25</f>
        <v>-0.14153473878850828</v>
      </c>
      <c r="F25" s="21">
        <f>+C25-41471</f>
        <v>33740</v>
      </c>
      <c r="G25" s="21">
        <f>+D25-48596</f>
        <v>39015</v>
      </c>
      <c r="H25" s="23">
        <f>(+F25-G25)/G25</f>
        <v>-0.13520440856080995</v>
      </c>
      <c r="I25" s="24">
        <f>K25/C25</f>
        <v>37.20826980095997</v>
      </c>
      <c r="J25" s="24">
        <f>K25/F25</f>
        <v>82.94224007113219</v>
      </c>
      <c r="K25" s="21">
        <v>2798471.18</v>
      </c>
      <c r="L25" s="21">
        <v>3200976.92</v>
      </c>
      <c r="M25" s="25">
        <f>(+K25-L25)/L25</f>
        <v>-0.12574465547849054</v>
      </c>
      <c r="N25" s="10"/>
      <c r="R25" s="2"/>
    </row>
    <row r="26" spans="1:18" ht="15.75" customHeight="1">
      <c r="A26" s="19"/>
      <c r="B26" s="20">
        <f>DATE(2013,8,1)</f>
        <v>41487</v>
      </c>
      <c r="C26" s="21">
        <v>74130</v>
      </c>
      <c r="D26" s="21">
        <v>84148</v>
      </c>
      <c r="E26" s="23">
        <f>(+C26-D26)/D26</f>
        <v>-0.11905214621856729</v>
      </c>
      <c r="F26" s="21">
        <f>+C26-40749</f>
        <v>33381</v>
      </c>
      <c r="G26" s="21">
        <f>+D26-47637</f>
        <v>36511</v>
      </c>
      <c r="H26" s="23">
        <f>(+F26-G26)/G26</f>
        <v>-0.08572758894579716</v>
      </c>
      <c r="I26" s="24">
        <f>K26/C26</f>
        <v>37.19823580196952</v>
      </c>
      <c r="J26" s="24">
        <f>K26/F26</f>
        <v>82.60702854917469</v>
      </c>
      <c r="K26" s="21">
        <v>2757505.22</v>
      </c>
      <c r="L26" s="21">
        <v>3106163.72</v>
      </c>
      <c r="M26" s="25">
        <f>(+K26-L26)/L26</f>
        <v>-0.11224730292065867</v>
      </c>
      <c r="N26" s="10"/>
      <c r="R26" s="2"/>
    </row>
    <row r="27" spans="1:18" ht="15.75" customHeight="1">
      <c r="A27" s="19"/>
      <c r="B27" s="20">
        <f>DATE(2013,9,1)</f>
        <v>41518</v>
      </c>
      <c r="C27" s="21">
        <v>66326</v>
      </c>
      <c r="D27" s="21">
        <v>77545</v>
      </c>
      <c r="E27" s="23">
        <f>(+C27-D27)/D27</f>
        <v>-0.1446772841575859</v>
      </c>
      <c r="F27" s="21">
        <f>C27-36268</f>
        <v>30058</v>
      </c>
      <c r="G27" s="21">
        <f>D27-43775</f>
        <v>33770</v>
      </c>
      <c r="H27" s="23">
        <f>(+F27-G27)/G27</f>
        <v>-0.10992004737933077</v>
      </c>
      <c r="I27" s="24">
        <f>K27/C27</f>
        <v>38.092674215239875</v>
      </c>
      <c r="J27" s="24">
        <f>K27/F27</f>
        <v>84.05531672100605</v>
      </c>
      <c r="K27" s="21">
        <v>2526534.71</v>
      </c>
      <c r="L27" s="21">
        <v>2875971.93</v>
      </c>
      <c r="M27" s="25">
        <f>(+K27-L27)/L27</f>
        <v>-0.12150230548321109</v>
      </c>
      <c r="N27" s="10"/>
      <c r="R27" s="2"/>
    </row>
    <row r="28" spans="1:18" ht="15.75" customHeight="1">
      <c r="A28" s="19"/>
      <c r="B28" s="20">
        <f>DATE(2013,10,1)</f>
        <v>41548</v>
      </c>
      <c r="C28" s="21">
        <v>62704</v>
      </c>
      <c r="D28" s="21">
        <v>70090</v>
      </c>
      <c r="E28" s="23">
        <f>(+C28-D28)/D28</f>
        <v>-0.10537879868740191</v>
      </c>
      <c r="F28" s="21">
        <f>C28-35119</f>
        <v>27585</v>
      </c>
      <c r="G28" s="21">
        <f>D28-40061</f>
        <v>30029</v>
      </c>
      <c r="H28" s="23">
        <f>(+F28-G28)/G28</f>
        <v>-0.08138799160811216</v>
      </c>
      <c r="I28" s="24">
        <f>K28/C28</f>
        <v>37.12073934677213</v>
      </c>
      <c r="J28" s="24">
        <f>K28/F28</f>
        <v>84.37987456951241</v>
      </c>
      <c r="K28" s="21">
        <v>2327618.84</v>
      </c>
      <c r="L28" s="21">
        <v>2639011.62</v>
      </c>
      <c r="M28" s="25">
        <f>(+K28-L28)/L28</f>
        <v>-0.11799598669444292</v>
      </c>
      <c r="N28" s="10"/>
      <c r="R28" s="2"/>
    </row>
    <row r="29" spans="1:18" ht="15.75" customHeight="1">
      <c r="A29" s="19"/>
      <c r="B29" s="20">
        <f>DATE(2013,11,1)</f>
        <v>41579</v>
      </c>
      <c r="C29" s="21">
        <v>65148</v>
      </c>
      <c r="D29" s="21">
        <v>67669</v>
      </c>
      <c r="E29" s="23">
        <f>(+C29-D29)/D29</f>
        <v>-0.037254872984675405</v>
      </c>
      <c r="F29" s="21">
        <f>+C29-37452</f>
        <v>27696</v>
      </c>
      <c r="G29" s="21">
        <f>+D29-39222</f>
        <v>28447</v>
      </c>
      <c r="H29" s="23">
        <f>(+F29-G29)/G29</f>
        <v>-0.02639997187752663</v>
      </c>
      <c r="I29" s="24">
        <f>K29/C29</f>
        <v>37.22764029594155</v>
      </c>
      <c r="J29" s="24">
        <f>K29/F29</f>
        <v>87.56882979491624</v>
      </c>
      <c r="K29" s="21">
        <v>2425306.31</v>
      </c>
      <c r="L29" s="21">
        <v>2544466.67</v>
      </c>
      <c r="M29" s="25">
        <f>(+K29-L29)/L29</f>
        <v>-0.046831173465518364</v>
      </c>
      <c r="N29" s="10"/>
      <c r="R29" s="2"/>
    </row>
    <row r="30" spans="1:18" ht="15.75" customHeight="1" thickBot="1">
      <c r="A30" s="38"/>
      <c r="B30" s="20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7.25" customHeight="1" thickBot="1" thickTop="1">
      <c r="A31" s="39" t="s">
        <v>14</v>
      </c>
      <c r="B31" s="40"/>
      <c r="C31" s="41">
        <f>SUM(C25:C30)</f>
        <v>343519</v>
      </c>
      <c r="D31" s="41">
        <f>SUM(D25:D30)</f>
        <v>387063</v>
      </c>
      <c r="E31" s="42">
        <f>(+C31-D31)/D31</f>
        <v>-0.11249848215923507</v>
      </c>
      <c r="F31" s="41">
        <f>SUM(F25:F30)</f>
        <v>152460</v>
      </c>
      <c r="G31" s="41">
        <f>SUM(G25:G30)</f>
        <v>167772</v>
      </c>
      <c r="H31" s="43">
        <f>(+F31-G31)/G31</f>
        <v>-0.09126671911880409</v>
      </c>
      <c r="I31" s="44">
        <f>K31/C31</f>
        <v>37.3645599224497</v>
      </c>
      <c r="J31" s="44">
        <f>K31/F31</f>
        <v>84.18887747605929</v>
      </c>
      <c r="K31" s="41">
        <f>SUM(K25:K30)</f>
        <v>12835436.26</v>
      </c>
      <c r="L31" s="41">
        <f>SUM(L25:L30)</f>
        <v>14366590.860000001</v>
      </c>
      <c r="M31" s="45">
        <f>(+K31-L31)/L31</f>
        <v>-0.10657744867386036</v>
      </c>
      <c r="N31" s="10"/>
      <c r="R31" s="2"/>
    </row>
    <row r="32" spans="1:18" ht="15.75" customHeight="1" thickTop="1">
      <c r="A32" s="38"/>
      <c r="B32" s="46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5.75" customHeight="1">
      <c r="A33" s="180" t="s">
        <v>66</v>
      </c>
      <c r="B33" s="20">
        <f>DATE(2013,7,1)</f>
        <v>41456</v>
      </c>
      <c r="C33" s="21">
        <v>527984</v>
      </c>
      <c r="D33" s="21">
        <v>582260</v>
      </c>
      <c r="E33" s="23">
        <f>(+C33-D33)/D33</f>
        <v>-0.09321608903239102</v>
      </c>
      <c r="F33" s="21">
        <f>+C33-281153</f>
        <v>246831</v>
      </c>
      <c r="G33" s="21">
        <f>+D33-308239</f>
        <v>274021</v>
      </c>
      <c r="H33" s="23">
        <f>(+F33-G33)/G33</f>
        <v>-0.09922597173209352</v>
      </c>
      <c r="I33" s="24">
        <f>K33/C33</f>
        <v>39.234616522470375</v>
      </c>
      <c r="J33" s="24">
        <f>K33/F33</f>
        <v>83.92483022796974</v>
      </c>
      <c r="K33" s="21">
        <v>20715249.77</v>
      </c>
      <c r="L33" s="21">
        <v>23373720.82</v>
      </c>
      <c r="M33" s="25">
        <f>(+K33-L33)/L33</f>
        <v>-0.11373760602656162</v>
      </c>
      <c r="N33" s="10"/>
      <c r="R33" s="2"/>
    </row>
    <row r="34" spans="1:18" ht="15.75" customHeight="1">
      <c r="A34" s="19" t="s">
        <v>71</v>
      </c>
      <c r="B34" s="20">
        <f>DATE(2013,8,1)</f>
        <v>41487</v>
      </c>
      <c r="C34" s="21">
        <v>496242</v>
      </c>
      <c r="D34" s="21">
        <v>528293</v>
      </c>
      <c r="E34" s="23">
        <f>(+C34-D34)/D34</f>
        <v>-0.06066898482470902</v>
      </c>
      <c r="F34" s="21">
        <f>+C34-262624</f>
        <v>233618</v>
      </c>
      <c r="G34" s="21">
        <f>+D34-282980</f>
        <v>245313</v>
      </c>
      <c r="H34" s="23">
        <f>(+F34-G34)/G34</f>
        <v>-0.0476737881808139</v>
      </c>
      <c r="I34" s="24">
        <f>K34/C34</f>
        <v>39.90943138629943</v>
      </c>
      <c r="J34" s="24">
        <f>K34/F34</f>
        <v>84.77401591486958</v>
      </c>
      <c r="K34" s="21">
        <v>19804736.05</v>
      </c>
      <c r="L34" s="21">
        <v>20346171</v>
      </c>
      <c r="M34" s="25">
        <f>(+K34-L34)/L34</f>
        <v>-0.02661114712935418</v>
      </c>
      <c r="N34" s="10"/>
      <c r="R34" s="2"/>
    </row>
    <row r="35" spans="1:18" ht="15.75" customHeight="1">
      <c r="A35" s="19"/>
      <c r="B35" s="20">
        <f>DATE(2013,9,1)</f>
        <v>41518</v>
      </c>
      <c r="C35" s="21">
        <v>463425</v>
      </c>
      <c r="D35" s="21">
        <v>517872</v>
      </c>
      <c r="E35" s="23">
        <f>(+C35-D35)/D35</f>
        <v>-0.10513601816665122</v>
      </c>
      <c r="F35" s="21">
        <f>+C35-254423</f>
        <v>209002</v>
      </c>
      <c r="G35" s="21">
        <f>D35-277087</f>
        <v>240785</v>
      </c>
      <c r="H35" s="23">
        <f>(+F35-G35)/G35</f>
        <v>-0.13199742508877213</v>
      </c>
      <c r="I35" s="24">
        <f>K35/C35</f>
        <v>39.73899854345363</v>
      </c>
      <c r="J35" s="24">
        <f>K35/F35</f>
        <v>88.11420656261662</v>
      </c>
      <c r="K35" s="21">
        <v>18416045.4</v>
      </c>
      <c r="L35" s="21">
        <v>21199576.31</v>
      </c>
      <c r="M35" s="25">
        <f>(+K35-L35)/L35</f>
        <v>-0.13130125193525627</v>
      </c>
      <c r="N35" s="10"/>
      <c r="R35" s="2"/>
    </row>
    <row r="36" spans="1:18" ht="15.75" customHeight="1">
      <c r="A36" s="19"/>
      <c r="B36" s="20">
        <f>DATE(2013,10,1)</f>
        <v>41548</v>
      </c>
      <c r="C36" s="21">
        <v>451270</v>
      </c>
      <c r="D36" s="21">
        <v>474025</v>
      </c>
      <c r="E36" s="23">
        <f>(+C36-D36)/D36</f>
        <v>-0.048003797268076576</v>
      </c>
      <c r="F36" s="21">
        <f>C36-250501</f>
        <v>200769</v>
      </c>
      <c r="G36" s="21">
        <f>D36-252224</f>
        <v>221801</v>
      </c>
      <c r="H36" s="23">
        <f>(+F36-G36)/G36</f>
        <v>-0.09482373839612987</v>
      </c>
      <c r="I36" s="24">
        <f>K36/C36</f>
        <v>38.04402437565094</v>
      </c>
      <c r="J36" s="24">
        <f>K36/F36</f>
        <v>85.5118413699326</v>
      </c>
      <c r="K36" s="21">
        <v>17168126.88</v>
      </c>
      <c r="L36" s="21">
        <v>19562542.36</v>
      </c>
      <c r="M36" s="25">
        <f>(+K36-L36)/L36</f>
        <v>-0.12239797036278471</v>
      </c>
      <c r="N36" s="10"/>
      <c r="R36" s="2"/>
    </row>
    <row r="37" spans="1:18" ht="15.75" customHeight="1">
      <c r="A37" s="19"/>
      <c r="B37" s="20">
        <f>DATE(2013,11,1)</f>
        <v>41579</v>
      </c>
      <c r="C37" s="21">
        <v>461618</v>
      </c>
      <c r="D37" s="21">
        <f>10448+462095</f>
        <v>472543</v>
      </c>
      <c r="E37" s="23">
        <f>(+C37-D37)/D37</f>
        <v>-0.023119589116757627</v>
      </c>
      <c r="F37" s="21">
        <f>+C37-262573</f>
        <v>199045</v>
      </c>
      <c r="G37" s="21">
        <f>+D37-5626-250333</f>
        <v>216584</v>
      </c>
      <c r="H37" s="23">
        <f>(+F37-G37)/G37</f>
        <v>-0.08098012780260777</v>
      </c>
      <c r="I37" s="24">
        <f>K37/C37</f>
        <v>37.973754554631746</v>
      </c>
      <c r="J37" s="24">
        <f>K37/F37</f>
        <v>88.06736481700118</v>
      </c>
      <c r="K37" s="21">
        <v>17529368.63</v>
      </c>
      <c r="L37" s="21">
        <f>381519.06+17192916.43</f>
        <v>17574435.49</v>
      </c>
      <c r="M37" s="25">
        <f>(+K37-L37)/L37</f>
        <v>-0.002564341826264794</v>
      </c>
      <c r="N37" s="10"/>
      <c r="R37" s="2"/>
    </row>
    <row r="38" spans="1:18" ht="15.75" thickBot="1">
      <c r="A38" s="38"/>
      <c r="B38" s="46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7.25" thickBot="1" thickTop="1">
      <c r="A39" s="39" t="s">
        <v>14</v>
      </c>
      <c r="B39" s="40"/>
      <c r="C39" s="41">
        <f>SUM(C33:C38)</f>
        <v>2400539</v>
      </c>
      <c r="D39" s="41">
        <f>SUM(D33:D38)</f>
        <v>2574993</v>
      </c>
      <c r="E39" s="42">
        <f>(+C39-D39)/D39</f>
        <v>-0.06774931038647483</v>
      </c>
      <c r="F39" s="41">
        <f>SUM(F33:F38)</f>
        <v>1089265</v>
      </c>
      <c r="G39" s="41">
        <f>SUM(G33:G38)</f>
        <v>1198504</v>
      </c>
      <c r="H39" s="43">
        <f>(+F39-G39)/G39</f>
        <v>-0.0911461288406213</v>
      </c>
      <c r="I39" s="44">
        <f>K39/C39</f>
        <v>39.005209550855035</v>
      </c>
      <c r="J39" s="44">
        <f>K39/F39</f>
        <v>85.96028214438175</v>
      </c>
      <c r="K39" s="41">
        <f>SUM(K33:K38)</f>
        <v>93633526.72999999</v>
      </c>
      <c r="L39" s="41">
        <f>SUM(L33:L38)</f>
        <v>102056445.97999999</v>
      </c>
      <c r="M39" s="45">
        <f>(+K39-L39)/L39</f>
        <v>-0.08253196717873794</v>
      </c>
      <c r="N39" s="10"/>
      <c r="R39" s="2"/>
    </row>
    <row r="40" spans="1:18" ht="15.75" thickTop="1">
      <c r="A40" s="38"/>
      <c r="B40" s="46"/>
      <c r="C40" s="21"/>
      <c r="D40" s="21"/>
      <c r="E40" s="23"/>
      <c r="F40" s="21"/>
      <c r="G40" s="21"/>
      <c r="H40" s="23"/>
      <c r="I40" s="24"/>
      <c r="J40" s="24"/>
      <c r="K40" s="21"/>
      <c r="L40" s="21"/>
      <c r="M40" s="25"/>
      <c r="N40" s="10"/>
      <c r="R40" s="2"/>
    </row>
    <row r="41" spans="1:18" ht="15.75">
      <c r="A41" s="19" t="s">
        <v>16</v>
      </c>
      <c r="B41" s="20">
        <f>DATE(2013,7,1)</f>
        <v>41456</v>
      </c>
      <c r="C41" s="21">
        <v>328290</v>
      </c>
      <c r="D41" s="21">
        <v>380604</v>
      </c>
      <c r="E41" s="23">
        <f>(+C41-D41)/D41</f>
        <v>-0.13744994797742535</v>
      </c>
      <c r="F41" s="21">
        <f>+C41-151367</f>
        <v>176923</v>
      </c>
      <c r="G41" s="21">
        <f>+D41-174162</f>
        <v>206442</v>
      </c>
      <c r="H41" s="23">
        <f>(+F41-G41)/G41</f>
        <v>-0.14298931418994196</v>
      </c>
      <c r="I41" s="24">
        <f>K41/C41</f>
        <v>45.28103579152579</v>
      </c>
      <c r="J41" s="24">
        <f>K41/F41</f>
        <v>84.02136093102649</v>
      </c>
      <c r="K41" s="21">
        <v>14865311.24</v>
      </c>
      <c r="L41" s="21">
        <v>15902720.89</v>
      </c>
      <c r="M41" s="25">
        <f>(+K41-L41)/L41</f>
        <v>-0.06523472663425461</v>
      </c>
      <c r="N41" s="10"/>
      <c r="R41" s="2"/>
    </row>
    <row r="42" spans="1:18" ht="15.75">
      <c r="A42" s="19"/>
      <c r="B42" s="20">
        <f>DATE(2013,8,1)</f>
        <v>41487</v>
      </c>
      <c r="C42" s="21">
        <v>339771</v>
      </c>
      <c r="D42" s="21">
        <v>373690</v>
      </c>
      <c r="E42" s="23">
        <f>(+C42-D42)/D42</f>
        <v>-0.0907677486686826</v>
      </c>
      <c r="F42" s="21">
        <f>+C42-158219</f>
        <v>181552</v>
      </c>
      <c r="G42" s="21">
        <f>+D42-175092</f>
        <v>198598</v>
      </c>
      <c r="H42" s="23">
        <f>(+F42-G42)/G42</f>
        <v>-0.08583168007734217</v>
      </c>
      <c r="I42" s="24">
        <f>K42/C42</f>
        <v>45.660958910560346</v>
      </c>
      <c r="J42" s="24">
        <f>K42/F42</f>
        <v>85.45358723671455</v>
      </c>
      <c r="K42" s="21">
        <v>15514269.67</v>
      </c>
      <c r="L42" s="21">
        <v>15901675.53</v>
      </c>
      <c r="M42" s="25">
        <f>(+K42-L42)/L42</f>
        <v>-0.024362581117261636</v>
      </c>
      <c r="N42" s="10"/>
      <c r="R42" s="2"/>
    </row>
    <row r="43" spans="1:18" ht="15.75">
      <c r="A43" s="19"/>
      <c r="B43" s="20">
        <f>DATE(2013,9,1)</f>
        <v>41518</v>
      </c>
      <c r="C43" s="21">
        <v>321452</v>
      </c>
      <c r="D43" s="21">
        <v>357430</v>
      </c>
      <c r="E43" s="23">
        <f>(+C43-D43)/D43</f>
        <v>-0.10065747139300003</v>
      </c>
      <c r="F43" s="21">
        <f>C43-148195</f>
        <v>173257</v>
      </c>
      <c r="G43" s="21">
        <f>D43-166372</f>
        <v>191058</v>
      </c>
      <c r="H43" s="23">
        <f>(+F43-G43)/G43</f>
        <v>-0.09317066021836301</v>
      </c>
      <c r="I43" s="24">
        <f>K43/C43</f>
        <v>43.70545894876995</v>
      </c>
      <c r="J43" s="24">
        <f>K43/F43</f>
        <v>81.08882867647483</v>
      </c>
      <c r="K43" s="21">
        <v>14049207.19</v>
      </c>
      <c r="L43" s="21">
        <v>14582006.96</v>
      </c>
      <c r="M43" s="25">
        <f>(+K43-L43)/L43</f>
        <v>-0.036538164565517485</v>
      </c>
      <c r="N43" s="10"/>
      <c r="R43" s="2"/>
    </row>
    <row r="44" spans="1:18" ht="15.75">
      <c r="A44" s="19"/>
      <c r="B44" s="20">
        <f>DATE(2013,10,1)</f>
        <v>41548</v>
      </c>
      <c r="C44" s="21">
        <v>324126</v>
      </c>
      <c r="D44" s="21">
        <v>342721</v>
      </c>
      <c r="E44" s="23">
        <f>(+C44-D44)/D44</f>
        <v>-0.05425696120167717</v>
      </c>
      <c r="F44" s="21">
        <f>C44-149108</f>
        <v>175018</v>
      </c>
      <c r="G44" s="21">
        <f>D44-158628</f>
        <v>184093</v>
      </c>
      <c r="H44" s="23">
        <f>(+F44-G44)/G44</f>
        <v>-0.04929573639410515</v>
      </c>
      <c r="I44" s="24">
        <f>K44/C44</f>
        <v>48.47825857845405</v>
      </c>
      <c r="J44" s="24">
        <f>K44/F44</f>
        <v>89.77970288770297</v>
      </c>
      <c r="K44" s="21">
        <v>15713064.04</v>
      </c>
      <c r="L44" s="21">
        <v>14620269.36</v>
      </c>
      <c r="M44" s="25">
        <f>(+K44-L44)/L44</f>
        <v>0.07474518102859357</v>
      </c>
      <c r="N44" s="10"/>
      <c r="R44" s="2"/>
    </row>
    <row r="45" spans="1:18" ht="15.75">
      <c r="A45" s="19"/>
      <c r="B45" s="20">
        <f>DATE(2013,11,1)</f>
        <v>41579</v>
      </c>
      <c r="C45" s="21">
        <v>334651</v>
      </c>
      <c r="D45" s="21">
        <v>359163</v>
      </c>
      <c r="E45" s="23">
        <f>(+C45-D45)/D45</f>
        <v>-0.06824756447629628</v>
      </c>
      <c r="F45" s="21">
        <f>+C45-156818</f>
        <v>177833</v>
      </c>
      <c r="G45" s="21">
        <f>+D45-166870</f>
        <v>192293</v>
      </c>
      <c r="H45" s="23">
        <f>(+F45-G45)/G45</f>
        <v>-0.07519774510772623</v>
      </c>
      <c r="I45" s="24">
        <f>K45/C45</f>
        <v>46.66525239727358</v>
      </c>
      <c r="J45" s="24">
        <f>K45/F45</f>
        <v>87.81594743382837</v>
      </c>
      <c r="K45" s="21">
        <v>15616573.38</v>
      </c>
      <c r="L45" s="21">
        <v>15203898.02</v>
      </c>
      <c r="M45" s="25">
        <f>(+K45-L45)/L45</f>
        <v>0.02714273401841729</v>
      </c>
      <c r="N45" s="10"/>
      <c r="R45" s="2"/>
    </row>
    <row r="46" spans="1:18" ht="15.75" thickBot="1">
      <c r="A46" s="38"/>
      <c r="B46" s="20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7.25" thickBot="1" thickTop="1">
      <c r="A47" s="39" t="s">
        <v>14</v>
      </c>
      <c r="B47" s="40"/>
      <c r="C47" s="41">
        <f>SUM(C41:C46)</f>
        <v>1648290</v>
      </c>
      <c r="D47" s="41">
        <f>SUM(D41:D46)</f>
        <v>1813608</v>
      </c>
      <c r="E47" s="47">
        <f>(+C47-D47)/D47</f>
        <v>-0.0911542075244485</v>
      </c>
      <c r="F47" s="48">
        <f>SUM(F41:F46)</f>
        <v>884583</v>
      </c>
      <c r="G47" s="49">
        <f>SUM(G41:G46)</f>
        <v>972484</v>
      </c>
      <c r="H47" s="50">
        <f>(+F47-G47)/G47</f>
        <v>-0.09038811949605341</v>
      </c>
      <c r="I47" s="51">
        <f>K47/C47</f>
        <v>45.96183045459233</v>
      </c>
      <c r="J47" s="52">
        <f>K47/F47</f>
        <v>85.64309456546191</v>
      </c>
      <c r="K47" s="49">
        <f>SUM(K41:K46)</f>
        <v>75758425.52</v>
      </c>
      <c r="L47" s="48">
        <f>SUM(L41:L46)</f>
        <v>76210570.76</v>
      </c>
      <c r="M47" s="45">
        <f>(+K47-L47)/L47</f>
        <v>-0.005932841540104606</v>
      </c>
      <c r="N47" s="10"/>
      <c r="R47" s="2"/>
    </row>
    <row r="48" spans="1:18" ht="15.75" customHeight="1" thickTop="1">
      <c r="A48" s="278"/>
      <c r="B48" s="46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5.75">
      <c r="A49" s="280" t="s">
        <v>64</v>
      </c>
      <c r="B49" s="20">
        <f>DATE(2013,7,1)</f>
        <v>41456</v>
      </c>
      <c r="C49" s="21">
        <v>165951</v>
      </c>
      <c r="D49" s="21">
        <v>0</v>
      </c>
      <c r="E49" s="23">
        <v>1</v>
      </c>
      <c r="F49" s="21">
        <f>+C49-83581</f>
        <v>82370</v>
      </c>
      <c r="G49" s="21">
        <v>0</v>
      </c>
      <c r="H49" s="23">
        <v>1</v>
      </c>
      <c r="I49" s="24">
        <f>K49/C49</f>
        <v>29.28965110183126</v>
      </c>
      <c r="J49" s="24">
        <f>K49/F49</f>
        <v>59.00991732426854</v>
      </c>
      <c r="K49" s="21">
        <v>4860646.89</v>
      </c>
      <c r="L49" s="21">
        <v>0</v>
      </c>
      <c r="M49" s="25">
        <v>1</v>
      </c>
      <c r="N49" s="10"/>
      <c r="R49" s="2"/>
    </row>
    <row r="50" spans="1:18" ht="15.75">
      <c r="A50" s="280"/>
      <c r="B50" s="20">
        <f>DATE(2013,8,1)</f>
        <v>41487</v>
      </c>
      <c r="C50" s="21">
        <v>175697</v>
      </c>
      <c r="D50" s="21">
        <v>0</v>
      </c>
      <c r="E50" s="23">
        <v>1</v>
      </c>
      <c r="F50" s="21">
        <f>+C50-88595</f>
        <v>87102</v>
      </c>
      <c r="G50" s="21">
        <v>0</v>
      </c>
      <c r="H50" s="23">
        <v>1</v>
      </c>
      <c r="I50" s="24">
        <f>K50/C50</f>
        <v>29.388708742892593</v>
      </c>
      <c r="J50" s="24">
        <f>K50/F50</f>
        <v>59.28116415237308</v>
      </c>
      <c r="K50" s="21">
        <v>5163507.96</v>
      </c>
      <c r="L50" s="21">
        <v>0</v>
      </c>
      <c r="M50" s="25">
        <v>1</v>
      </c>
      <c r="N50" s="10"/>
      <c r="R50" s="2"/>
    </row>
    <row r="51" spans="1:18" ht="15.75">
      <c r="A51" s="280"/>
      <c r="B51" s="20">
        <f>DATE(2013,9,1)</f>
        <v>41518</v>
      </c>
      <c r="C51" s="21">
        <v>144756</v>
      </c>
      <c r="D51" s="21">
        <v>0</v>
      </c>
      <c r="E51" s="23">
        <v>1</v>
      </c>
      <c r="F51" s="21">
        <f>C51-74140</f>
        <v>70616</v>
      </c>
      <c r="G51" s="21">
        <v>0</v>
      </c>
      <c r="H51" s="23">
        <v>1</v>
      </c>
      <c r="I51" s="24">
        <f>K51/C51</f>
        <v>31.84674624886015</v>
      </c>
      <c r="J51" s="24">
        <f>K51/F51</f>
        <v>65.28276311317548</v>
      </c>
      <c r="K51" s="21">
        <v>4610007.6</v>
      </c>
      <c r="L51" s="21">
        <v>0</v>
      </c>
      <c r="M51" s="25">
        <v>1</v>
      </c>
      <c r="N51" s="10"/>
      <c r="R51" s="2"/>
    </row>
    <row r="52" spans="1:18" ht="15.75">
      <c r="A52" s="280"/>
      <c r="B52" s="20">
        <f>DATE(2013,10,1)</f>
        <v>41548</v>
      </c>
      <c r="C52" s="21">
        <v>131947</v>
      </c>
      <c r="D52" s="21">
        <v>20777</v>
      </c>
      <c r="E52" s="23">
        <f>(+C52-D52)/D52</f>
        <v>5.350628098378015</v>
      </c>
      <c r="F52" s="21">
        <f>+C52-66592</f>
        <v>65355</v>
      </c>
      <c r="G52" s="21">
        <f>D52-10074</f>
        <v>10703</v>
      </c>
      <c r="H52" s="23">
        <f>(+F52-G52)/G52</f>
        <v>5.106231897598804</v>
      </c>
      <c r="I52" s="24">
        <f>K52/C52</f>
        <v>32.22623629184445</v>
      </c>
      <c r="J52" s="24">
        <f>K52/F52</f>
        <v>65.06243133654655</v>
      </c>
      <c r="K52" s="21">
        <v>4252155.2</v>
      </c>
      <c r="L52" s="21">
        <v>613980.86</v>
      </c>
      <c r="M52" s="25">
        <f>(+K52-L52)/L52</f>
        <v>5.925550089623315</v>
      </c>
      <c r="N52" s="10"/>
      <c r="R52" s="2"/>
    </row>
    <row r="53" spans="1:18" ht="15.75">
      <c r="A53" s="280"/>
      <c r="B53" s="20">
        <f>DATE(2013,11,1)</f>
        <v>41579</v>
      </c>
      <c r="C53" s="21">
        <v>142720</v>
      </c>
      <c r="D53" s="21">
        <v>211077</v>
      </c>
      <c r="E53" s="23">
        <f>(+C53-D53)/D53</f>
        <v>-0.32384864291230214</v>
      </c>
      <c r="F53" s="21">
        <f>+C53-74196</f>
        <v>68524</v>
      </c>
      <c r="G53" s="21">
        <f>+D53-100693</f>
        <v>110384</v>
      </c>
      <c r="H53" s="23">
        <f>(+F53-G53)/G53</f>
        <v>-0.37922162632265544</v>
      </c>
      <c r="I53" s="24">
        <f>K53/C53</f>
        <v>32.71860138733184</v>
      </c>
      <c r="J53" s="24">
        <f>K53/F53</f>
        <v>68.14544962348958</v>
      </c>
      <c r="K53" s="21">
        <v>4669598.79</v>
      </c>
      <c r="L53" s="21">
        <v>5386616.73</v>
      </c>
      <c r="M53" s="25">
        <f>(+K53-L53)/L53</f>
        <v>-0.1331110000840918</v>
      </c>
      <c r="N53" s="10"/>
      <c r="R53" s="2"/>
    </row>
    <row r="54" spans="1:18" ht="15.75" customHeight="1" thickBot="1">
      <c r="A54" s="19"/>
      <c r="B54" s="20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7.25" customHeight="1" thickBot="1" thickTop="1">
      <c r="A55" s="39" t="s">
        <v>14</v>
      </c>
      <c r="B55" s="53"/>
      <c r="C55" s="48">
        <f>SUM(C49:C54)</f>
        <v>761071</v>
      </c>
      <c r="D55" s="49">
        <f>SUM(D49:D54)</f>
        <v>231854</v>
      </c>
      <c r="E55" s="47">
        <f>(+C55-D55)/D55</f>
        <v>2.2825441872902776</v>
      </c>
      <c r="F55" s="49">
        <f>SUM(F49:F54)</f>
        <v>373967</v>
      </c>
      <c r="G55" s="48">
        <f>SUM(G49:G54)</f>
        <v>121087</v>
      </c>
      <c r="H55" s="47">
        <f>(+F55-G55)/G55</f>
        <v>2.088415767175667</v>
      </c>
      <c r="I55" s="52">
        <f>K55/C55</f>
        <v>30.951010405073898</v>
      </c>
      <c r="J55" s="51">
        <f>K55/F55</f>
        <v>62.989291675468685</v>
      </c>
      <c r="K55" s="48">
        <f>SUM(K49:K54)</f>
        <v>23555916.439999998</v>
      </c>
      <c r="L55" s="49">
        <f>SUM(L49:L54)</f>
        <v>6000597.590000001</v>
      </c>
      <c r="M55" s="45">
        <f>(+K55-L55)/L55</f>
        <v>2.925595090604967</v>
      </c>
      <c r="N55" s="10"/>
      <c r="R55" s="2"/>
    </row>
    <row r="56" spans="1:18" ht="15.75" customHeight="1" thickTop="1">
      <c r="A56" s="19"/>
      <c r="B56" s="46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5.75">
      <c r="A57" s="19" t="s">
        <v>17</v>
      </c>
      <c r="B57" s="20">
        <f>DATE(2013,7,1)</f>
        <v>41456</v>
      </c>
      <c r="C57" s="21">
        <v>238714</v>
      </c>
      <c r="D57" s="21">
        <v>249746</v>
      </c>
      <c r="E57" s="23">
        <f>(+C57-D57)/D57</f>
        <v>-0.04417287964572005</v>
      </c>
      <c r="F57" s="21">
        <f>+C57-112243</f>
        <v>126471</v>
      </c>
      <c r="G57" s="21">
        <f>+D57-122665</f>
        <v>127081</v>
      </c>
      <c r="H57" s="23">
        <f>(+F57-G57)/G57</f>
        <v>-0.004800088132765716</v>
      </c>
      <c r="I57" s="24">
        <f>K57/C57</f>
        <v>27.527799919569027</v>
      </c>
      <c r="J57" s="24">
        <f>K57/F57</f>
        <v>51.95871962742447</v>
      </c>
      <c r="K57" s="21">
        <v>6571271.23</v>
      </c>
      <c r="L57" s="21">
        <v>6656688.84</v>
      </c>
      <c r="M57" s="25">
        <f>(+K57-L57)/L57</f>
        <v>-0.012831846591164896</v>
      </c>
      <c r="N57" s="10"/>
      <c r="R57" s="2"/>
    </row>
    <row r="58" spans="1:18" ht="15.75">
      <c r="A58" s="19"/>
      <c r="B58" s="20">
        <f>DATE(2013,8,1)</f>
        <v>41487</v>
      </c>
      <c r="C58" s="21">
        <v>242695</v>
      </c>
      <c r="D58" s="21">
        <v>250066</v>
      </c>
      <c r="E58" s="23">
        <f>(+C58-D58)/D58</f>
        <v>-0.02947621827837451</v>
      </c>
      <c r="F58" s="21">
        <f>+C58-116570</f>
        <v>126125</v>
      </c>
      <c r="G58" s="21">
        <f>+D58-122530</f>
        <v>127536</v>
      </c>
      <c r="H58" s="23">
        <f>(+F58-G58)/G58</f>
        <v>-0.011063542842805169</v>
      </c>
      <c r="I58" s="24">
        <f>K58/C58</f>
        <v>26.918226333463814</v>
      </c>
      <c r="J58" s="24">
        <f>K58/F58</f>
        <v>51.797176927651144</v>
      </c>
      <c r="K58" s="21">
        <v>6532918.94</v>
      </c>
      <c r="L58" s="21">
        <v>6835454.37</v>
      </c>
      <c r="M58" s="25">
        <f>(+K58-L58)/L58</f>
        <v>-0.04425973953213584</v>
      </c>
      <c r="N58" s="10"/>
      <c r="R58" s="2"/>
    </row>
    <row r="59" spans="1:18" ht="15.75">
      <c r="A59" s="19"/>
      <c r="B59" s="20">
        <f>DATE(2013,9,1)</f>
        <v>41518</v>
      </c>
      <c r="C59" s="21">
        <v>223278</v>
      </c>
      <c r="D59" s="21">
        <v>246236</v>
      </c>
      <c r="E59" s="23">
        <f>(+C59-D59)/D59</f>
        <v>-0.09323575756591237</v>
      </c>
      <c r="F59" s="21">
        <f>C59-107106</f>
        <v>116172</v>
      </c>
      <c r="G59" s="21">
        <f>D59-126830</f>
        <v>119406</v>
      </c>
      <c r="H59" s="23">
        <f>(+F59-G59)/G59</f>
        <v>-0.027084066127330286</v>
      </c>
      <c r="I59" s="24">
        <f>K59/C59</f>
        <v>27.460344592839423</v>
      </c>
      <c r="J59" s="24">
        <f>K59/F59</f>
        <v>52.777698757015465</v>
      </c>
      <c r="K59" s="21">
        <v>6131290.82</v>
      </c>
      <c r="L59" s="21">
        <v>6422695.39</v>
      </c>
      <c r="M59" s="25">
        <f>(+K59-L59)/L59</f>
        <v>-0.04537107122559636</v>
      </c>
      <c r="N59" s="10"/>
      <c r="R59" s="2"/>
    </row>
    <row r="60" spans="1:18" ht="15.75">
      <c r="A60" s="19"/>
      <c r="B60" s="20">
        <f>DATE(2013,10,1)</f>
        <v>41548</v>
      </c>
      <c r="C60" s="21">
        <v>220298</v>
      </c>
      <c r="D60" s="21">
        <v>229601</v>
      </c>
      <c r="E60" s="23">
        <f>(+C60-D60)/D60</f>
        <v>-0.04051811621029525</v>
      </c>
      <c r="F60" s="21">
        <f>C60-108109</f>
        <v>112189</v>
      </c>
      <c r="G60" s="21">
        <f>D60-111376</f>
        <v>118225</v>
      </c>
      <c r="H60" s="23">
        <f>(+F60-G60)/G60</f>
        <v>-0.051055191372383166</v>
      </c>
      <c r="I60" s="24">
        <f>K60/C60</f>
        <v>28.296946681313493</v>
      </c>
      <c r="J60" s="24">
        <f>K60/F60</f>
        <v>55.564812593034965</v>
      </c>
      <c r="K60" s="21">
        <v>6233760.76</v>
      </c>
      <c r="L60" s="21">
        <v>6427224.37</v>
      </c>
      <c r="M60" s="25">
        <f>(+K60-L60)/L60</f>
        <v>-0.030100646696421512</v>
      </c>
      <c r="N60" s="10"/>
      <c r="R60" s="2"/>
    </row>
    <row r="61" spans="1:18" ht="15.75">
      <c r="A61" s="19"/>
      <c r="B61" s="20">
        <f>DATE(2013,11,1)</f>
        <v>41579</v>
      </c>
      <c r="C61" s="21">
        <v>207358</v>
      </c>
      <c r="D61" s="21">
        <v>229725</v>
      </c>
      <c r="E61" s="23">
        <f>(+C61-D61)/D61</f>
        <v>-0.09736423985199695</v>
      </c>
      <c r="F61" s="21">
        <f>+C61-102857</f>
        <v>104501</v>
      </c>
      <c r="G61" s="21">
        <f>+D61-107065</f>
        <v>122660</v>
      </c>
      <c r="H61" s="23">
        <f>(+F61-G61)/G61</f>
        <v>-0.1480433719223871</v>
      </c>
      <c r="I61" s="24">
        <f>K61/C61</f>
        <v>29.061613296810346</v>
      </c>
      <c r="J61" s="24">
        <f>K61/F61</f>
        <v>57.66603199969378</v>
      </c>
      <c r="K61" s="21">
        <v>6026158.01</v>
      </c>
      <c r="L61" s="21">
        <v>6348235.44</v>
      </c>
      <c r="M61" s="25">
        <f>(+K61-L61)/L61</f>
        <v>-0.05073495352276988</v>
      </c>
      <c r="N61" s="10"/>
      <c r="R61" s="2"/>
    </row>
    <row r="62" spans="1:18" ht="15.75" customHeight="1" thickBot="1">
      <c r="A62" s="19"/>
      <c r="B62" s="46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7.25" customHeight="1" thickBot="1" thickTop="1">
      <c r="A63" s="39" t="s">
        <v>14</v>
      </c>
      <c r="B63" s="53"/>
      <c r="C63" s="48">
        <f>SUM(C57:C62)</f>
        <v>1132343</v>
      </c>
      <c r="D63" s="49">
        <f>SUM(D57:D62)</f>
        <v>1205374</v>
      </c>
      <c r="E63" s="47">
        <f>(+C63-D63)/D63</f>
        <v>-0.060587834149400936</v>
      </c>
      <c r="F63" s="49">
        <f>SUM(F57:F62)</f>
        <v>585458</v>
      </c>
      <c r="G63" s="48">
        <f>SUM(G57:G62)</f>
        <v>614908</v>
      </c>
      <c r="H63" s="54">
        <f>(+F63-G63)/G63</f>
        <v>-0.047893343394459005</v>
      </c>
      <c r="I63" s="52">
        <f>K63/C63</f>
        <v>27.814363457009048</v>
      </c>
      <c r="J63" s="51">
        <f>K63/F63</f>
        <v>53.79617284245838</v>
      </c>
      <c r="K63" s="48">
        <f>SUM(K57:K62)</f>
        <v>31495399.759999998</v>
      </c>
      <c r="L63" s="49">
        <f>SUM(L57:L62)</f>
        <v>32690298.410000004</v>
      </c>
      <c r="M63" s="45">
        <f>(+K63-L63)/L63</f>
        <v>-0.036552087564746275</v>
      </c>
      <c r="N63" s="10"/>
      <c r="R63" s="2"/>
    </row>
    <row r="64" spans="1:18" ht="15.75" customHeight="1" thickTop="1">
      <c r="A64" s="19"/>
      <c r="B64" s="46"/>
      <c r="C64" s="21"/>
      <c r="D64" s="21"/>
      <c r="E64" s="23"/>
      <c r="F64" s="21"/>
      <c r="G64" s="21"/>
      <c r="H64" s="23"/>
      <c r="I64" s="24"/>
      <c r="J64" s="24"/>
      <c r="K64" s="21"/>
      <c r="L64" s="21"/>
      <c r="M64" s="25"/>
      <c r="N64" s="10"/>
      <c r="R64" s="2"/>
    </row>
    <row r="65" spans="1:18" ht="15.75" customHeight="1">
      <c r="A65" s="19" t="s">
        <v>57</v>
      </c>
      <c r="B65" s="20">
        <f>DATE(2013,7,1)</f>
        <v>41456</v>
      </c>
      <c r="C65" s="21">
        <v>376879</v>
      </c>
      <c r="D65" s="21">
        <v>480431</v>
      </c>
      <c r="E65" s="23">
        <f>(+C65-D65)/D65</f>
        <v>-0.21553979655767425</v>
      </c>
      <c r="F65" s="21">
        <f>+C65-189072</f>
        <v>187807</v>
      </c>
      <c r="G65" s="21">
        <f>+D65-242307</f>
        <v>238124</v>
      </c>
      <c r="H65" s="23">
        <f>(+F65-G65)/G65</f>
        <v>-0.21130587425039055</v>
      </c>
      <c r="I65" s="24">
        <f>K65/C65</f>
        <v>30.169080925177578</v>
      </c>
      <c r="J65" s="24">
        <f>K65/F65</f>
        <v>60.5413698637431</v>
      </c>
      <c r="K65" s="21">
        <v>11370093.05</v>
      </c>
      <c r="L65" s="21">
        <v>13835520.02</v>
      </c>
      <c r="M65" s="25">
        <f>(+K65-L65)/L65</f>
        <v>-0.1781954683623087</v>
      </c>
      <c r="N65" s="10"/>
      <c r="R65" s="2"/>
    </row>
    <row r="66" spans="1:18" ht="15.75" customHeight="1">
      <c r="A66" s="19"/>
      <c r="B66" s="20">
        <f>DATE(2013,8,1)</f>
        <v>41487</v>
      </c>
      <c r="C66" s="21">
        <v>399184</v>
      </c>
      <c r="D66" s="21">
        <v>464443</v>
      </c>
      <c r="E66" s="23">
        <f>(+C66-D66)/D66</f>
        <v>-0.140510245606027</v>
      </c>
      <c r="F66" s="21">
        <f>+C66-197151</f>
        <v>202033</v>
      </c>
      <c r="G66" s="21">
        <f>+D66-232764</f>
        <v>231679</v>
      </c>
      <c r="H66" s="23">
        <f>(+F66-G66)/G66</f>
        <v>-0.12796153298313614</v>
      </c>
      <c r="I66" s="24">
        <f>K66/C66</f>
        <v>32.02187600204417</v>
      </c>
      <c r="J66" s="24">
        <f>K66/F66</f>
        <v>63.26996357030782</v>
      </c>
      <c r="K66" s="21">
        <v>12782620.55</v>
      </c>
      <c r="L66" s="21">
        <v>13814431.77</v>
      </c>
      <c r="M66" s="25">
        <f>(+K66-L66)/L66</f>
        <v>-0.0746908187885602</v>
      </c>
      <c r="N66" s="10"/>
      <c r="R66" s="2"/>
    </row>
    <row r="67" spans="1:18" ht="15.75" customHeight="1">
      <c r="A67" s="19"/>
      <c r="B67" s="20">
        <f>DATE(2013,9,1)</f>
        <v>41518</v>
      </c>
      <c r="C67" s="21">
        <v>372710</v>
      </c>
      <c r="D67" s="21">
        <v>436431</v>
      </c>
      <c r="E67" s="23">
        <f>(+C67-D67)/D67</f>
        <v>-0.1460047521830484</v>
      </c>
      <c r="F67" s="21">
        <f>C67-184970</f>
        <v>187740</v>
      </c>
      <c r="G67" s="21">
        <f>D67-217832</f>
        <v>218599</v>
      </c>
      <c r="H67" s="23">
        <f>(+F67-G67)/G67</f>
        <v>-0.14116715995956067</v>
      </c>
      <c r="I67" s="24">
        <f>K67/C67</f>
        <v>31.73047401464946</v>
      </c>
      <c r="J67" s="24">
        <f>K67/F67</f>
        <v>62.99278241184617</v>
      </c>
      <c r="K67" s="21">
        <v>11826264.97</v>
      </c>
      <c r="L67" s="21">
        <v>13217900.95</v>
      </c>
      <c r="M67" s="25">
        <f>(+K67-L67)/L67</f>
        <v>-0.10528418886358795</v>
      </c>
      <c r="N67" s="10"/>
      <c r="R67" s="2"/>
    </row>
    <row r="68" spans="1:18" ht="15.75" customHeight="1">
      <c r="A68" s="19"/>
      <c r="B68" s="20">
        <f>DATE(2013,10,1)</f>
        <v>41548</v>
      </c>
      <c r="C68" s="21">
        <v>357387</v>
      </c>
      <c r="D68" s="21">
        <v>413866</v>
      </c>
      <c r="E68" s="23">
        <f>(+C68-D68)/D68</f>
        <v>-0.13646687575205502</v>
      </c>
      <c r="F68" s="21">
        <f>C68-179117</f>
        <v>178270</v>
      </c>
      <c r="G68" s="21">
        <f>D68-208856</f>
        <v>205010</v>
      </c>
      <c r="H68" s="23">
        <f>(+F68-G68)/G68</f>
        <v>-0.13043266182137456</v>
      </c>
      <c r="I68" s="24">
        <f>K68/C68</f>
        <v>34.161442917621514</v>
      </c>
      <c r="J68" s="24">
        <f>K68/F68</f>
        <v>68.48519436809335</v>
      </c>
      <c r="K68" s="21">
        <v>12208855.6</v>
      </c>
      <c r="L68" s="21">
        <v>13289415.43</v>
      </c>
      <c r="M68" s="25">
        <f>(+K68-L68)/L68</f>
        <v>-0.08130980897479552</v>
      </c>
      <c r="N68" s="10"/>
      <c r="R68" s="2"/>
    </row>
    <row r="69" spans="1:18" ht="15.75" customHeight="1">
      <c r="A69" s="19"/>
      <c r="B69" s="20">
        <f>DATE(2013,11,1)</f>
        <v>41579</v>
      </c>
      <c r="C69" s="21">
        <v>379613</v>
      </c>
      <c r="D69" s="21">
        <v>399363</v>
      </c>
      <c r="E69" s="23">
        <f>(+C69-D69)/D69</f>
        <v>-0.04945375510500472</v>
      </c>
      <c r="F69" s="21">
        <f>+C69-192885</f>
        <v>186728</v>
      </c>
      <c r="G69" s="21">
        <f>+D69-204871</f>
        <v>194492</v>
      </c>
      <c r="H69" s="23">
        <f>(+F69-G69)/G69</f>
        <v>-0.039919379717417686</v>
      </c>
      <c r="I69" s="24">
        <f>K69/C69</f>
        <v>29.80626819945576</v>
      </c>
      <c r="J69" s="24">
        <f>K69/F69</f>
        <v>60.59534129857333</v>
      </c>
      <c r="K69" s="21">
        <v>11314846.89</v>
      </c>
      <c r="L69" s="21">
        <v>12992125.2</v>
      </c>
      <c r="M69" s="25">
        <f>(+K69-L69)/L69</f>
        <v>-0.12909961104746734</v>
      </c>
      <c r="N69" s="10"/>
      <c r="R69" s="2"/>
    </row>
    <row r="70" spans="1:18" ht="15.75" customHeight="1" thickBot="1">
      <c r="A70" s="19"/>
      <c r="B70" s="46"/>
      <c r="C70" s="21"/>
      <c r="D70" s="21"/>
      <c r="E70" s="23"/>
      <c r="F70" s="21"/>
      <c r="G70" s="21"/>
      <c r="H70" s="23"/>
      <c r="I70" s="24"/>
      <c r="J70" s="24"/>
      <c r="K70" s="21"/>
      <c r="L70" s="21"/>
      <c r="M70" s="25"/>
      <c r="N70" s="10"/>
      <c r="R70" s="2"/>
    </row>
    <row r="71" spans="1:18" ht="17.25" thickBot="1" thickTop="1">
      <c r="A71" s="39" t="s">
        <v>14</v>
      </c>
      <c r="B71" s="40"/>
      <c r="C71" s="41">
        <f>SUM(C65:C70)</f>
        <v>1885773</v>
      </c>
      <c r="D71" s="41">
        <f>SUM(D65:D70)</f>
        <v>2194534</v>
      </c>
      <c r="E71" s="42">
        <f>(+C71-D71)/D71</f>
        <v>-0.14069547338979482</v>
      </c>
      <c r="F71" s="41">
        <f>SUM(F65:F70)</f>
        <v>942578</v>
      </c>
      <c r="G71" s="41">
        <f>SUM(G65:G70)</f>
        <v>1087904</v>
      </c>
      <c r="H71" s="43">
        <f>(+F71-G71)/G71</f>
        <v>-0.1335834779539371</v>
      </c>
      <c r="I71" s="44">
        <f>K71/C71</f>
        <v>31.553469616968744</v>
      </c>
      <c r="J71" s="44">
        <f>K71/F71</f>
        <v>63.1275937482097</v>
      </c>
      <c r="K71" s="41">
        <f>SUM(K65:K70)</f>
        <v>59502681.06</v>
      </c>
      <c r="L71" s="41">
        <f>SUM(L65:L70)</f>
        <v>67149393.36999999</v>
      </c>
      <c r="M71" s="45">
        <f>(+K71-L71)/L71</f>
        <v>-0.11387611899732027</v>
      </c>
      <c r="N71" s="10"/>
      <c r="R71" s="2"/>
    </row>
    <row r="72" spans="1:18" ht="15.75" customHeight="1" thickTop="1">
      <c r="A72" s="55"/>
      <c r="B72" s="56"/>
      <c r="C72" s="56"/>
      <c r="D72" s="56"/>
      <c r="E72" s="57"/>
      <c r="F72" s="56"/>
      <c r="G72" s="56"/>
      <c r="H72" s="57"/>
      <c r="I72" s="56"/>
      <c r="J72" s="56"/>
      <c r="K72" s="199"/>
      <c r="L72" s="199"/>
      <c r="M72" s="58"/>
      <c r="N72" s="10"/>
      <c r="R72" s="2"/>
    </row>
    <row r="73" spans="1:18" ht="15.75" customHeight="1">
      <c r="A73" s="19" t="s">
        <v>18</v>
      </c>
      <c r="B73" s="20">
        <f>DATE(2013,7,1)</f>
        <v>41456</v>
      </c>
      <c r="C73" s="21">
        <v>502822</v>
      </c>
      <c r="D73" s="21">
        <v>562251</v>
      </c>
      <c r="E73" s="23">
        <f>(+C73-D73)/D73</f>
        <v>-0.10569834468947142</v>
      </c>
      <c r="F73" s="21">
        <f>+C73-253388</f>
        <v>249434</v>
      </c>
      <c r="G73" s="21">
        <f>+D73-288730</f>
        <v>273521</v>
      </c>
      <c r="H73" s="23">
        <f>(+F73-G73)/G73</f>
        <v>-0.08806270816500378</v>
      </c>
      <c r="I73" s="24">
        <f>K73/C73</f>
        <v>34.33326459462792</v>
      </c>
      <c r="J73" s="24">
        <f>K73/F73</f>
        <v>69.21077627749224</v>
      </c>
      <c r="K73" s="21">
        <v>17263520.77</v>
      </c>
      <c r="L73" s="21">
        <v>19122467.54</v>
      </c>
      <c r="M73" s="25">
        <f>(+K73-L73)/L73</f>
        <v>-0.09721270364880952</v>
      </c>
      <c r="N73" s="10"/>
      <c r="R73" s="2"/>
    </row>
    <row r="74" spans="1:18" ht="15.75" customHeight="1">
      <c r="A74" s="19"/>
      <c r="B74" s="20">
        <f>DATE(2013,8,1)</f>
        <v>41487</v>
      </c>
      <c r="C74" s="21">
        <v>566727</v>
      </c>
      <c r="D74" s="21">
        <v>549909</v>
      </c>
      <c r="E74" s="23">
        <f>(+C74-D74)/D74</f>
        <v>0.030583241954577938</v>
      </c>
      <c r="F74" s="21">
        <f>+C74-280832</f>
        <v>285895</v>
      </c>
      <c r="G74" s="21">
        <f>+D74-281796</f>
        <v>268113</v>
      </c>
      <c r="H74" s="23">
        <f>(+F74-G74)/G74</f>
        <v>0.06632278181214638</v>
      </c>
      <c r="I74" s="24">
        <f>K74/C74</f>
        <v>31.781609663912256</v>
      </c>
      <c r="J74" s="24">
        <f>K74/F74</f>
        <v>63.000389303765374</v>
      </c>
      <c r="K74" s="21">
        <v>18011496.3</v>
      </c>
      <c r="L74" s="21">
        <v>17871456.18</v>
      </c>
      <c r="M74" s="25">
        <f>(+K74-L74)/L74</f>
        <v>0.007835965832304162</v>
      </c>
      <c r="N74" s="10"/>
      <c r="R74" s="2"/>
    </row>
    <row r="75" spans="1:18" ht="15.75" customHeight="1">
      <c r="A75" s="19"/>
      <c r="B75" s="20">
        <f>DATE(2013,9,1)</f>
        <v>41518</v>
      </c>
      <c r="C75" s="21">
        <v>471960</v>
      </c>
      <c r="D75" s="21">
        <v>510632</v>
      </c>
      <c r="E75" s="23">
        <f>(+C75-D75)/D75</f>
        <v>-0.07573360071440881</v>
      </c>
      <c r="F75" s="21">
        <f>C75-238969</f>
        <v>232991</v>
      </c>
      <c r="G75" s="21">
        <f>D75-261020</f>
        <v>249612</v>
      </c>
      <c r="H75" s="23">
        <f>(+F75-G75)/G75</f>
        <v>-0.06658734355720078</v>
      </c>
      <c r="I75" s="24">
        <f>K75/C75</f>
        <v>33.61958540978049</v>
      </c>
      <c r="J75" s="24">
        <f>K75/F75</f>
        <v>68.10177015421196</v>
      </c>
      <c r="K75" s="21">
        <v>15867099.53</v>
      </c>
      <c r="L75" s="21">
        <v>17117772.6</v>
      </c>
      <c r="M75" s="25">
        <f>(+K75-L75)/L75</f>
        <v>-0.07306283937899737</v>
      </c>
      <c r="N75" s="10"/>
      <c r="R75" s="2"/>
    </row>
    <row r="76" spans="1:18" ht="15.75" customHeight="1">
      <c r="A76" s="19"/>
      <c r="B76" s="20">
        <f>DATE(2013,10,1)</f>
        <v>41548</v>
      </c>
      <c r="C76" s="21">
        <v>458275</v>
      </c>
      <c r="D76" s="21">
        <v>538961</v>
      </c>
      <c r="E76" s="23">
        <f>(+C76-D76)/D76</f>
        <v>-0.1497065650390288</v>
      </c>
      <c r="F76" s="21">
        <f>C76-236826</f>
        <v>221449</v>
      </c>
      <c r="G76" s="21">
        <f>D76-272124</f>
        <v>266837</v>
      </c>
      <c r="H76" s="23">
        <f>(+F76-G76)/G76</f>
        <v>-0.17009635095582695</v>
      </c>
      <c r="I76" s="24">
        <f>K76/C76</f>
        <v>35.29370714090884</v>
      </c>
      <c r="J76" s="24">
        <f>K76/F76</f>
        <v>73.03814259716684</v>
      </c>
      <c r="K76" s="21">
        <v>16174223.64</v>
      </c>
      <c r="L76" s="21">
        <v>17354595.37</v>
      </c>
      <c r="M76" s="25">
        <f>(+K76-L76)/L76</f>
        <v>-0.06801493810915629</v>
      </c>
      <c r="N76" s="10"/>
      <c r="R76" s="2"/>
    </row>
    <row r="77" spans="1:18" ht="15.75" customHeight="1">
      <c r="A77" s="19"/>
      <c r="B77" s="20">
        <f>DATE(2013,11,1)</f>
        <v>41579</v>
      </c>
      <c r="C77" s="21">
        <v>484130</v>
      </c>
      <c r="D77" s="21">
        <v>545984</v>
      </c>
      <c r="E77" s="23">
        <f>(+C77-D77)/D77</f>
        <v>-0.1132890341108897</v>
      </c>
      <c r="F77" s="21">
        <f>+C77-250719</f>
        <v>233411</v>
      </c>
      <c r="G77" s="21">
        <f>+D77-278133</f>
        <v>267851</v>
      </c>
      <c r="H77" s="23">
        <f>(+F77-G77)/G77</f>
        <v>-0.1285789487438912</v>
      </c>
      <c r="I77" s="24">
        <f>K77/C77</f>
        <v>33.93504579348522</v>
      </c>
      <c r="J77" s="24">
        <f>K77/F77</f>
        <v>70.38645873587792</v>
      </c>
      <c r="K77" s="21">
        <v>16428973.72</v>
      </c>
      <c r="L77" s="21">
        <v>18213394.84</v>
      </c>
      <c r="M77" s="25">
        <f>(+K77-L77)/L77</f>
        <v>-0.09797301028587371</v>
      </c>
      <c r="N77" s="10"/>
      <c r="R77" s="2"/>
    </row>
    <row r="78" spans="1:18" ht="15.75" customHeight="1" thickBot="1">
      <c r="A78" s="19"/>
      <c r="B78" s="46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7.25" thickBot="1" thickTop="1">
      <c r="A79" s="39" t="s">
        <v>14</v>
      </c>
      <c r="B79" s="40"/>
      <c r="C79" s="41">
        <f>SUM(C73:C78)</f>
        <v>2483914</v>
      </c>
      <c r="D79" s="41">
        <f>SUM(D73:D78)</f>
        <v>2707737</v>
      </c>
      <c r="E79" s="42">
        <f>(+C79-D79)/D79</f>
        <v>-0.08266053904053458</v>
      </c>
      <c r="F79" s="41">
        <f>SUM(F73:F78)</f>
        <v>1223180</v>
      </c>
      <c r="G79" s="41">
        <f>SUM(G73:G78)</f>
        <v>1325934</v>
      </c>
      <c r="H79" s="43">
        <f>(+F79-G79)/G79</f>
        <v>-0.07749556161920579</v>
      </c>
      <c r="I79" s="44">
        <f>K79/C79</f>
        <v>33.715061777501155</v>
      </c>
      <c r="J79" s="44">
        <f>K79/F79</f>
        <v>68.46524138720385</v>
      </c>
      <c r="K79" s="41">
        <f>SUM(K73:K78)</f>
        <v>83745313.96000001</v>
      </c>
      <c r="L79" s="41">
        <f>SUM(L73:L78)</f>
        <v>89679686.53</v>
      </c>
      <c r="M79" s="45">
        <f>(+K79-L79)/L79</f>
        <v>-0.06617298520568315</v>
      </c>
      <c r="N79" s="10"/>
      <c r="R79" s="2"/>
    </row>
    <row r="80" spans="1:18" ht="15.75" customHeight="1" thickTop="1">
      <c r="A80" s="55"/>
      <c r="B80" s="56"/>
      <c r="C80" s="56"/>
      <c r="D80" s="56"/>
      <c r="E80" s="57"/>
      <c r="F80" s="56"/>
      <c r="G80" s="56"/>
      <c r="H80" s="57"/>
      <c r="I80" s="56"/>
      <c r="J80" s="56"/>
      <c r="K80" s="199"/>
      <c r="L80" s="199"/>
      <c r="M80" s="58"/>
      <c r="N80" s="10"/>
      <c r="R80" s="2"/>
    </row>
    <row r="81" spans="1:18" ht="15.75" customHeight="1">
      <c r="A81" s="19" t="s">
        <v>59</v>
      </c>
      <c r="B81" s="20">
        <f>DATE(2013,7,1)</f>
        <v>41456</v>
      </c>
      <c r="C81" s="21">
        <v>478335</v>
      </c>
      <c r="D81" s="21">
        <v>559966</v>
      </c>
      <c r="E81" s="23">
        <f>(+C81-D81)/D81</f>
        <v>-0.14577849369426002</v>
      </c>
      <c r="F81" s="21">
        <f>+C81-233675</f>
        <v>244660</v>
      </c>
      <c r="G81" s="21">
        <f>+D81-278963</f>
        <v>281003</v>
      </c>
      <c r="H81" s="23">
        <f>(+F81-G81)/G81</f>
        <v>-0.12933313879211253</v>
      </c>
      <c r="I81" s="24">
        <f>K81/C81</f>
        <v>34.27530195365173</v>
      </c>
      <c r="J81" s="24">
        <f>K81/F81</f>
        <v>67.0116756314886</v>
      </c>
      <c r="K81" s="21">
        <v>16395076.56</v>
      </c>
      <c r="L81" s="21">
        <v>17977290.57</v>
      </c>
      <c r="M81" s="25">
        <f>(+K81-L81)/L81</f>
        <v>-0.08801181712222832</v>
      </c>
      <c r="N81" s="10"/>
      <c r="R81" s="2"/>
    </row>
    <row r="82" spans="1:18" ht="15.75" customHeight="1">
      <c r="A82" s="19"/>
      <c r="B82" s="20">
        <f>DATE(2013,8,1)</f>
        <v>41487</v>
      </c>
      <c r="C82" s="21">
        <v>529390</v>
      </c>
      <c r="D82" s="21">
        <v>521819</v>
      </c>
      <c r="E82" s="23">
        <f>(+C82-D82)/D82</f>
        <v>0.014508862268334423</v>
      </c>
      <c r="F82" s="21">
        <f>+C82-256440</f>
        <v>272950</v>
      </c>
      <c r="G82" s="21">
        <f>+D82-261336</f>
        <v>260483</v>
      </c>
      <c r="H82" s="23">
        <f>(+F82-G82)/G82</f>
        <v>0.04786108882345489</v>
      </c>
      <c r="I82" s="24">
        <f>K82/C82</f>
        <v>34.306565216570014</v>
      </c>
      <c r="J82" s="24">
        <f>K82/F82</f>
        <v>66.53802000366368</v>
      </c>
      <c r="K82" s="21">
        <v>18161552.56</v>
      </c>
      <c r="L82" s="21">
        <v>17829049.67</v>
      </c>
      <c r="M82" s="25">
        <f>(+K82-L82)/L82</f>
        <v>0.0186495015805291</v>
      </c>
      <c r="N82" s="10"/>
      <c r="R82" s="2"/>
    </row>
    <row r="83" spans="1:18" ht="15.75" customHeight="1">
      <c r="A83" s="19"/>
      <c r="B83" s="20">
        <f>DATE(2013,9,1)</f>
        <v>41518</v>
      </c>
      <c r="C83" s="21">
        <v>505874</v>
      </c>
      <c r="D83" s="21">
        <v>518876</v>
      </c>
      <c r="E83" s="23">
        <f>(+C83-D83)/D83</f>
        <v>-0.025058010006244268</v>
      </c>
      <c r="F83" s="21">
        <f>+C83-247976</f>
        <v>257898</v>
      </c>
      <c r="G83" s="21">
        <f>D83-268642</f>
        <v>250234</v>
      </c>
      <c r="H83" s="23">
        <f>(+F83-G83)/G83</f>
        <v>0.03062733281648377</v>
      </c>
      <c r="I83" s="24">
        <f>K83/C83</f>
        <v>33.88189928717428</v>
      </c>
      <c r="J83" s="24">
        <f>K83/F83</f>
        <v>66.46027468223872</v>
      </c>
      <c r="K83" s="21">
        <v>17139971.92</v>
      </c>
      <c r="L83" s="21">
        <v>17274511.71</v>
      </c>
      <c r="M83" s="25">
        <f>(+K83-L83)/L83</f>
        <v>-0.007788341127009436</v>
      </c>
      <c r="N83" s="10"/>
      <c r="R83" s="2"/>
    </row>
    <row r="84" spans="1:18" ht="15.75" customHeight="1">
      <c r="A84" s="19"/>
      <c r="B84" s="20">
        <f>DATE(2013,10,1)</f>
        <v>41548</v>
      </c>
      <c r="C84" s="21">
        <v>489334</v>
      </c>
      <c r="D84" s="21">
        <v>446706</v>
      </c>
      <c r="E84" s="23">
        <f>(+C84-D84)/D84</f>
        <v>0.0954274175856156</v>
      </c>
      <c r="F84" s="21">
        <f>+C84-235323</f>
        <v>254011</v>
      </c>
      <c r="G84" s="21">
        <f>D84-225385</f>
        <v>221321</v>
      </c>
      <c r="H84" s="23">
        <f>(+F84-G84)/G84</f>
        <v>0.14770401362726537</v>
      </c>
      <c r="I84" s="24">
        <f>K84/C84</f>
        <v>34.379125852689576</v>
      </c>
      <c r="J84" s="24">
        <f>K84/F84</f>
        <v>66.22892382613352</v>
      </c>
      <c r="K84" s="21">
        <v>16822875.17</v>
      </c>
      <c r="L84" s="21">
        <v>15332300.77</v>
      </c>
      <c r="M84" s="25">
        <f>(+K84-L84)/L84</f>
        <v>0.09721792067349343</v>
      </c>
      <c r="N84" s="10"/>
      <c r="R84" s="2"/>
    </row>
    <row r="85" spans="1:18" ht="15.75" customHeight="1">
      <c r="A85" s="19"/>
      <c r="B85" s="20">
        <f>DATE(2013,11,1)</f>
        <v>41579</v>
      </c>
      <c r="C85" s="21">
        <v>524077</v>
      </c>
      <c r="D85" s="21">
        <v>463686</v>
      </c>
      <c r="E85" s="23">
        <f>(+C85-D85)/D85</f>
        <v>0.13024115457443183</v>
      </c>
      <c r="F85" s="21">
        <f>+C85-257056</f>
        <v>267021</v>
      </c>
      <c r="G85" s="21">
        <f>+D85-233451</f>
        <v>230235</v>
      </c>
      <c r="H85" s="23">
        <f>(+F85-G85)/G85</f>
        <v>0.15977588116489674</v>
      </c>
      <c r="I85" s="24">
        <f>K85/C85</f>
        <v>35.48838317651796</v>
      </c>
      <c r="J85" s="24">
        <f>K85/F85</f>
        <v>69.65236962635898</v>
      </c>
      <c r="K85" s="21">
        <v>18598645.39</v>
      </c>
      <c r="L85" s="21">
        <v>16471567.13</v>
      </c>
      <c r="M85" s="25">
        <f>(+K85-L85)/L85</f>
        <v>0.12913636226670314</v>
      </c>
      <c r="N85" s="10"/>
      <c r="R85" s="2"/>
    </row>
    <row r="86" spans="1:18" ht="15.75" customHeight="1" thickBot="1">
      <c r="A86" s="19"/>
      <c r="B86" s="46"/>
      <c r="C86" s="21"/>
      <c r="D86" s="21"/>
      <c r="E86" s="23"/>
      <c r="F86" s="21"/>
      <c r="G86" s="21"/>
      <c r="H86" s="23"/>
      <c r="I86" s="24"/>
      <c r="J86" s="24"/>
      <c r="K86" s="21"/>
      <c r="L86" s="21"/>
      <c r="M86" s="25"/>
      <c r="N86" s="10"/>
      <c r="R86" s="2"/>
    </row>
    <row r="87" spans="1:18" ht="17.25" thickBot="1" thickTop="1">
      <c r="A87" s="39" t="s">
        <v>14</v>
      </c>
      <c r="B87" s="40"/>
      <c r="C87" s="41">
        <f>SUM(C81:C86)</f>
        <v>2527010</v>
      </c>
      <c r="D87" s="41">
        <f>SUM(D81:D86)</f>
        <v>2511053</v>
      </c>
      <c r="E87" s="42">
        <f>(+C87-D87)/D87</f>
        <v>0.0063547045801104155</v>
      </c>
      <c r="F87" s="41">
        <f>SUM(F81:F86)</f>
        <v>1296540</v>
      </c>
      <c r="G87" s="41">
        <f>SUM(G81:G86)</f>
        <v>1243276</v>
      </c>
      <c r="H87" s="43">
        <f>(+F87-G87)/G87</f>
        <v>0.04284165382425141</v>
      </c>
      <c r="I87" s="44">
        <f>K87/C87</f>
        <v>34.474783083565164</v>
      </c>
      <c r="J87" s="44">
        <f>K87/F87</f>
        <v>67.19277584956886</v>
      </c>
      <c r="K87" s="41">
        <f>SUM(K81:K86)</f>
        <v>87118121.60000001</v>
      </c>
      <c r="L87" s="41">
        <f>SUM(L81:L86)</f>
        <v>84884719.85</v>
      </c>
      <c r="M87" s="45">
        <f>(+K87-L87)/L87</f>
        <v>0.02631099865731624</v>
      </c>
      <c r="N87" s="10"/>
      <c r="R87" s="2"/>
    </row>
    <row r="88" spans="1:18" ht="15.75" customHeight="1" thickTop="1">
      <c r="A88" s="59"/>
      <c r="B88" s="60"/>
      <c r="C88" s="60"/>
      <c r="D88" s="60"/>
      <c r="E88" s="61"/>
      <c r="F88" s="60"/>
      <c r="G88" s="60"/>
      <c r="H88" s="61"/>
      <c r="I88" s="60"/>
      <c r="J88" s="60"/>
      <c r="K88" s="200"/>
      <c r="L88" s="200"/>
      <c r="M88" s="62"/>
      <c r="N88" s="10"/>
      <c r="R88" s="2"/>
    </row>
    <row r="89" spans="1:18" ht="15" customHeight="1">
      <c r="A89" s="19" t="s">
        <v>60</v>
      </c>
      <c r="B89" s="20">
        <f>DATE(2013,7,1)</f>
        <v>41456</v>
      </c>
      <c r="C89" s="21">
        <v>86946</v>
      </c>
      <c r="D89" s="21">
        <v>103415</v>
      </c>
      <c r="E89" s="23">
        <f>(+C89-D89)/D89</f>
        <v>-0.15925155925155926</v>
      </c>
      <c r="F89" s="21">
        <f>+C89-43787</f>
        <v>43159</v>
      </c>
      <c r="G89" s="21">
        <f>+D89-53002</f>
        <v>50413</v>
      </c>
      <c r="H89" s="23">
        <f>(+F89-G89)/G89</f>
        <v>-0.1438914565687422</v>
      </c>
      <c r="I89" s="24">
        <f>K89/C89</f>
        <v>34.21040093851356</v>
      </c>
      <c r="J89" s="24">
        <f>K89/F89</f>
        <v>68.91859218239533</v>
      </c>
      <c r="K89" s="21">
        <v>2974457.52</v>
      </c>
      <c r="L89" s="21">
        <v>3359020.59</v>
      </c>
      <c r="M89" s="25">
        <f>(+K89-L89)/L89</f>
        <v>-0.11448666648393478</v>
      </c>
      <c r="N89" s="10"/>
      <c r="R89" s="2"/>
    </row>
    <row r="90" spans="1:18" ht="15" customHeight="1">
      <c r="A90" s="19"/>
      <c r="B90" s="20">
        <f>DATE(2013,8,1)</f>
        <v>41487</v>
      </c>
      <c r="C90" s="21">
        <v>89883</v>
      </c>
      <c r="D90" s="21">
        <v>97074</v>
      </c>
      <c r="E90" s="23">
        <f>(+C90-D90)/D90</f>
        <v>-0.07407750788058594</v>
      </c>
      <c r="F90" s="21">
        <f>+C90-45553</f>
        <v>44330</v>
      </c>
      <c r="G90" s="21">
        <f>+D90-49756</f>
        <v>47318</v>
      </c>
      <c r="H90" s="23">
        <f>(+F90-G90)/G90</f>
        <v>-0.06314721670400271</v>
      </c>
      <c r="I90" s="24">
        <f>K90/C90</f>
        <v>33.8045326702491</v>
      </c>
      <c r="J90" s="24">
        <f>K90/F90</f>
        <v>68.54168305887661</v>
      </c>
      <c r="K90" s="21">
        <v>3038452.81</v>
      </c>
      <c r="L90" s="21">
        <v>3254067.81</v>
      </c>
      <c r="M90" s="25">
        <f>(+K90-L90)/L90</f>
        <v>-0.06626014348484029</v>
      </c>
      <c r="N90" s="10"/>
      <c r="R90" s="2"/>
    </row>
    <row r="91" spans="1:18" ht="15" customHeight="1">
      <c r="A91" s="19"/>
      <c r="B91" s="20">
        <f>DATE(2013,9,1)</f>
        <v>41518</v>
      </c>
      <c r="C91" s="21">
        <v>83616</v>
      </c>
      <c r="D91" s="21">
        <v>93484</v>
      </c>
      <c r="E91" s="23">
        <f>(+C91-D91)/D91</f>
        <v>-0.10555817038209747</v>
      </c>
      <c r="F91" s="21">
        <f>C91-42083</f>
        <v>41533</v>
      </c>
      <c r="G91" s="21">
        <f>D91-48200</f>
        <v>45284</v>
      </c>
      <c r="H91" s="23">
        <f>(+F91-G91)/G91</f>
        <v>-0.08283278862291317</v>
      </c>
      <c r="I91" s="24">
        <f>K91/C91</f>
        <v>34.52627260332951</v>
      </c>
      <c r="J91" s="24">
        <f>K91/F91</f>
        <v>69.50975874605736</v>
      </c>
      <c r="K91" s="21">
        <v>2886948.81</v>
      </c>
      <c r="L91" s="21">
        <v>3094460.2</v>
      </c>
      <c r="M91" s="25">
        <f>(+K91-L91)/L91</f>
        <v>-0.06705899465115114</v>
      </c>
      <c r="N91" s="10"/>
      <c r="R91" s="2"/>
    </row>
    <row r="92" spans="1:18" ht="15" customHeight="1">
      <c r="A92" s="19"/>
      <c r="B92" s="20">
        <f>DATE(2013,10,1)</f>
        <v>41548</v>
      </c>
      <c r="C92" s="21">
        <v>80385</v>
      </c>
      <c r="D92" s="21">
        <v>88493</v>
      </c>
      <c r="E92" s="23">
        <f>(+C92-D92)/D92</f>
        <v>-0.09162306623122733</v>
      </c>
      <c r="F92" s="21">
        <f>C92-41448</f>
        <v>38937</v>
      </c>
      <c r="G92" s="21">
        <f>D92-45853</f>
        <v>42640</v>
      </c>
      <c r="H92" s="23">
        <f>(+F92-G92)/G92</f>
        <v>-0.08684333958724202</v>
      </c>
      <c r="I92" s="24">
        <f>K92/C92</f>
        <v>36.07895589973254</v>
      </c>
      <c r="J92" s="24">
        <f>K92/F92</f>
        <v>74.4845999948635</v>
      </c>
      <c r="K92" s="21">
        <v>2900206.87</v>
      </c>
      <c r="L92" s="21">
        <v>3012322.5</v>
      </c>
      <c r="M92" s="25">
        <f>(+K92-L92)/L92</f>
        <v>-0.03721899962570405</v>
      </c>
      <c r="N92" s="10"/>
      <c r="R92" s="2"/>
    </row>
    <row r="93" spans="1:18" ht="15" customHeight="1">
      <c r="A93" s="19"/>
      <c r="B93" s="20">
        <f>DATE(2013,11,1)</f>
        <v>41579</v>
      </c>
      <c r="C93" s="21">
        <v>85054</v>
      </c>
      <c r="D93" s="21">
        <v>91121</v>
      </c>
      <c r="E93" s="23">
        <f>(+C93-D93)/D93</f>
        <v>-0.06658179782925999</v>
      </c>
      <c r="F93" s="21">
        <f>+C93-44715</f>
        <v>40339</v>
      </c>
      <c r="G93" s="21">
        <f>+D93-47793</f>
        <v>43328</v>
      </c>
      <c r="H93" s="23">
        <f>(+F93-G93)/G93</f>
        <v>-0.06898541358936484</v>
      </c>
      <c r="I93" s="24">
        <f>K93/C93</f>
        <v>37.29254203212077</v>
      </c>
      <c r="J93" s="24">
        <f>K93/F93</f>
        <v>78.63060239470488</v>
      </c>
      <c r="K93" s="21">
        <v>3171879.87</v>
      </c>
      <c r="L93" s="21">
        <v>3169802.58</v>
      </c>
      <c r="M93" s="25">
        <f>(+K93-L93)/L93</f>
        <v>0.0006553373428070203</v>
      </c>
      <c r="N93" s="10"/>
      <c r="R93" s="2"/>
    </row>
    <row r="94" spans="1:18" ht="15.75" thickBot="1">
      <c r="A94" s="38"/>
      <c r="B94" s="20"/>
      <c r="C94" s="21"/>
      <c r="D94" s="21"/>
      <c r="E94" s="23"/>
      <c r="F94" s="21"/>
      <c r="G94" s="21"/>
      <c r="H94" s="23"/>
      <c r="I94" s="24"/>
      <c r="J94" s="24"/>
      <c r="K94" s="21"/>
      <c r="L94" s="21"/>
      <c r="M94" s="25"/>
      <c r="N94" s="10"/>
      <c r="R94" s="2"/>
    </row>
    <row r="95" spans="1:18" ht="17.25" thickBot="1" thickTop="1">
      <c r="A95" s="63" t="s">
        <v>14</v>
      </c>
      <c r="B95" s="53"/>
      <c r="C95" s="49">
        <f>SUM(C89:C94)</f>
        <v>425884</v>
      </c>
      <c r="D95" s="49">
        <f>SUM(D89:D94)</f>
        <v>473587</v>
      </c>
      <c r="E95" s="42">
        <f>(+C95-D95)/D95</f>
        <v>-0.10072700475308655</v>
      </c>
      <c r="F95" s="49">
        <f>SUM(F89:F94)</f>
        <v>208298</v>
      </c>
      <c r="G95" s="49">
        <f>SUM(G89:G94)</f>
        <v>228983</v>
      </c>
      <c r="H95" s="43">
        <f>(+F95-G95)/G95</f>
        <v>-0.09033421695060331</v>
      </c>
      <c r="I95" s="51">
        <f>K95/C95</f>
        <v>35.15498558292869</v>
      </c>
      <c r="J95" s="51">
        <f>K95/F95</f>
        <v>71.87753065319879</v>
      </c>
      <c r="K95" s="49">
        <f>SUM(K89:K94)</f>
        <v>14971945.880000003</v>
      </c>
      <c r="L95" s="49">
        <f>SUM(L89:L94)</f>
        <v>15889673.680000002</v>
      </c>
      <c r="M95" s="45">
        <f>(+K95-L95)/L95</f>
        <v>-0.05775623958565767</v>
      </c>
      <c r="N95" s="10"/>
      <c r="R95" s="2"/>
    </row>
    <row r="96" spans="1:18" ht="15.75" customHeight="1" thickTop="1">
      <c r="A96" s="19"/>
      <c r="B96" s="46"/>
      <c r="C96" s="21"/>
      <c r="D96" s="21"/>
      <c r="E96" s="23"/>
      <c r="F96" s="21"/>
      <c r="G96" s="21"/>
      <c r="H96" s="23"/>
      <c r="I96" s="24"/>
      <c r="J96" s="24"/>
      <c r="K96" s="21"/>
      <c r="L96" s="21"/>
      <c r="M96" s="25"/>
      <c r="N96" s="10"/>
      <c r="R96" s="2"/>
    </row>
    <row r="97" spans="1:18" ht="15.75">
      <c r="A97" s="19" t="s">
        <v>19</v>
      </c>
      <c r="B97" s="20">
        <f>DATE(2013,7,1)</f>
        <v>41456</v>
      </c>
      <c r="C97" s="21">
        <v>557354</v>
      </c>
      <c r="D97" s="21">
        <v>684605</v>
      </c>
      <c r="E97" s="23">
        <f>(+C97-D97)/D97</f>
        <v>-0.1858750666442693</v>
      </c>
      <c r="F97" s="21">
        <f>+C97-286430</f>
        <v>270924</v>
      </c>
      <c r="G97" s="21">
        <f>+D97-339270</f>
        <v>345335</v>
      </c>
      <c r="H97" s="23">
        <f>(+F97-G97)/G97</f>
        <v>-0.21547482878943636</v>
      </c>
      <c r="I97" s="24">
        <f>K97/C97</f>
        <v>38.51244575260966</v>
      </c>
      <c r="J97" s="24">
        <f>K97/F97</f>
        <v>79.22910369697776</v>
      </c>
      <c r="K97" s="21">
        <v>21465065.69</v>
      </c>
      <c r="L97" s="21">
        <v>23853397.91</v>
      </c>
      <c r="M97" s="25">
        <f>(+K97-L97)/L97</f>
        <v>-0.10012545084818898</v>
      </c>
      <c r="N97" s="10"/>
      <c r="R97" s="2"/>
    </row>
    <row r="98" spans="1:18" ht="15.75">
      <c r="A98" s="19"/>
      <c r="B98" s="20">
        <f>DATE(2013,8,1)</f>
        <v>41487</v>
      </c>
      <c r="C98" s="21">
        <v>558243</v>
      </c>
      <c r="D98" s="21">
        <v>667637</v>
      </c>
      <c r="E98" s="23">
        <f>(+C98-D98)/D98</f>
        <v>-0.163852512667812</v>
      </c>
      <c r="F98" s="21">
        <f>+C98-286154</f>
        <v>272089</v>
      </c>
      <c r="G98" s="21">
        <f>+D98-331302</f>
        <v>336335</v>
      </c>
      <c r="H98" s="23">
        <f>(+F98-G98)/G98</f>
        <v>-0.19101788395498537</v>
      </c>
      <c r="I98" s="24">
        <f>K98/C98</f>
        <v>39.873945056185214</v>
      </c>
      <c r="J98" s="24">
        <f>K98/F98</f>
        <v>81.80907978639343</v>
      </c>
      <c r="K98" s="21">
        <v>22259350.71</v>
      </c>
      <c r="L98" s="21">
        <v>23162448.71</v>
      </c>
      <c r="M98" s="25">
        <f>(+K98-L98)/L98</f>
        <v>-0.03898974634793698</v>
      </c>
      <c r="N98" s="10"/>
      <c r="R98" s="2"/>
    </row>
    <row r="99" spans="1:18" ht="15.75">
      <c r="A99" s="19"/>
      <c r="B99" s="20">
        <f>DATE(2013,9,1)</f>
        <v>41518</v>
      </c>
      <c r="C99" s="21">
        <v>517441</v>
      </c>
      <c r="D99" s="21">
        <v>634121</v>
      </c>
      <c r="E99" s="23">
        <f>(+C99-D99)/D99</f>
        <v>-0.18400273764786215</v>
      </c>
      <c r="F99" s="21">
        <f>C99-263971</f>
        <v>253470</v>
      </c>
      <c r="G99" s="21">
        <f>D99-312293</f>
        <v>321828</v>
      </c>
      <c r="H99" s="23">
        <f>(+F99-G99)/G99</f>
        <v>-0.21240538424251462</v>
      </c>
      <c r="I99" s="24">
        <f>K99/C99</f>
        <v>39.07068230001102</v>
      </c>
      <c r="J99" s="24">
        <f>K99/F99</f>
        <v>79.7600225667732</v>
      </c>
      <c r="K99" s="21">
        <v>20216772.92</v>
      </c>
      <c r="L99" s="21">
        <v>22888186.53</v>
      </c>
      <c r="M99" s="25">
        <f>(+K99-L99)/L99</f>
        <v>-0.11671582659021607</v>
      </c>
      <c r="N99" s="10"/>
      <c r="R99" s="2"/>
    </row>
    <row r="100" spans="1:18" ht="15.75">
      <c r="A100" s="19"/>
      <c r="B100" s="20">
        <f>DATE(2013,10,1)</f>
        <v>41548</v>
      </c>
      <c r="C100" s="21">
        <v>507912</v>
      </c>
      <c r="D100" s="21">
        <v>599849</v>
      </c>
      <c r="E100" s="23">
        <f>(+C100-D100)/D100</f>
        <v>-0.153266905504552</v>
      </c>
      <c r="F100" s="21">
        <f>C100-260802</f>
        <v>247110</v>
      </c>
      <c r="G100" s="21">
        <f>D100-297104</f>
        <v>302745</v>
      </c>
      <c r="H100" s="23">
        <f>(+F100-G100)/G100</f>
        <v>-0.18376851805975325</v>
      </c>
      <c r="I100" s="24">
        <f>K100/C100</f>
        <v>39.796473463907134</v>
      </c>
      <c r="J100" s="24">
        <f>K100/F100</f>
        <v>81.79801072396909</v>
      </c>
      <c r="K100" s="21">
        <v>20213106.43</v>
      </c>
      <c r="L100" s="21">
        <v>21816495.37</v>
      </c>
      <c r="M100" s="25">
        <f>(+K100-L100)/L100</f>
        <v>-0.07349434053486113</v>
      </c>
      <c r="N100" s="10"/>
      <c r="R100" s="2"/>
    </row>
    <row r="101" spans="1:18" ht="15.75">
      <c r="A101" s="19"/>
      <c r="B101" s="20">
        <f>DATE(2013,11,1)</f>
        <v>41579</v>
      </c>
      <c r="C101" s="21">
        <v>546393</v>
      </c>
      <c r="D101" s="21">
        <v>613858</v>
      </c>
      <c r="E101" s="23">
        <f>(+C101-D101)/D101</f>
        <v>-0.10990326753092734</v>
      </c>
      <c r="F101" s="21">
        <f>+C101-280915</f>
        <v>265478</v>
      </c>
      <c r="G101" s="21">
        <f>+D101-306851</f>
        <v>307007</v>
      </c>
      <c r="H101" s="23">
        <f>(+F101-G101)/G101</f>
        <v>-0.13527053129081748</v>
      </c>
      <c r="I101" s="24">
        <f>K101/C101</f>
        <v>39.52256147132192</v>
      </c>
      <c r="J101" s="24">
        <f>K101/F101</f>
        <v>81.3432786520917</v>
      </c>
      <c r="K101" s="21">
        <v>21594850.93</v>
      </c>
      <c r="L101" s="21">
        <v>22665778.85</v>
      </c>
      <c r="M101" s="25">
        <f>(+K101-L101)/L101</f>
        <v>-0.04724867065399792</v>
      </c>
      <c r="N101" s="10"/>
      <c r="R101" s="2"/>
    </row>
    <row r="102" spans="1:18" ht="15.75" thickBot="1">
      <c r="A102" s="38"/>
      <c r="B102" s="46"/>
      <c r="C102" s="21"/>
      <c r="D102" s="21"/>
      <c r="E102" s="23"/>
      <c r="F102" s="21"/>
      <c r="G102" s="21"/>
      <c r="H102" s="23"/>
      <c r="I102" s="24"/>
      <c r="J102" s="24"/>
      <c r="K102" s="21"/>
      <c r="L102" s="21"/>
      <c r="M102" s="25"/>
      <c r="N102" s="10"/>
      <c r="R102" s="2"/>
    </row>
    <row r="103" spans="1:18" ht="17.25" thickBot="1" thickTop="1">
      <c r="A103" s="39" t="s">
        <v>14</v>
      </c>
      <c r="B103" s="40"/>
      <c r="C103" s="41">
        <f>SUM(C97:C102)</f>
        <v>2687343</v>
      </c>
      <c r="D103" s="41">
        <f>SUM(D97:D102)</f>
        <v>3200070</v>
      </c>
      <c r="E103" s="42">
        <f>(+C103-D103)/D103</f>
        <v>-0.16022368260694297</v>
      </c>
      <c r="F103" s="41">
        <f>SUM(F97:F102)</f>
        <v>1309071</v>
      </c>
      <c r="G103" s="41">
        <f>SUM(G97:G102)</f>
        <v>1613250</v>
      </c>
      <c r="H103" s="43">
        <f>(+F103-G103)/G103</f>
        <v>-0.18855044165504417</v>
      </c>
      <c r="I103" s="44">
        <f>K103/C103</f>
        <v>39.35081851479324</v>
      </c>
      <c r="J103" s="44">
        <f>K103/F103</f>
        <v>80.7818267152813</v>
      </c>
      <c r="K103" s="41">
        <f>SUM(K97:K102)</f>
        <v>105749146.68</v>
      </c>
      <c r="L103" s="41">
        <f>SUM(L97:L102)</f>
        <v>114386307.37</v>
      </c>
      <c r="M103" s="45">
        <f>(+K103-L103)/L103</f>
        <v>-0.075508694078757</v>
      </c>
      <c r="N103" s="10"/>
      <c r="R103" s="2"/>
    </row>
    <row r="104" spans="1:18" ht="15.75" customHeight="1" thickTop="1">
      <c r="A104" s="19"/>
      <c r="B104" s="46"/>
      <c r="C104" s="21"/>
      <c r="D104" s="21"/>
      <c r="E104" s="23"/>
      <c r="F104" s="21"/>
      <c r="G104" s="21"/>
      <c r="H104" s="23"/>
      <c r="I104" s="24"/>
      <c r="J104" s="24"/>
      <c r="K104" s="21"/>
      <c r="L104" s="21"/>
      <c r="M104" s="25"/>
      <c r="N104" s="10"/>
      <c r="R104" s="2"/>
    </row>
    <row r="105" spans="1:18" ht="15.75">
      <c r="A105" s="19" t="s">
        <v>70</v>
      </c>
      <c r="B105" s="20">
        <f>DATE(2013,7,1)</f>
        <v>41456</v>
      </c>
      <c r="C105" s="21">
        <v>97183</v>
      </c>
      <c r="D105" s="21">
        <v>107191</v>
      </c>
      <c r="E105" s="23">
        <f>(+C105-D105)/D105</f>
        <v>-0.09336604752264649</v>
      </c>
      <c r="F105" s="21">
        <f>+C105-48052</f>
        <v>49131</v>
      </c>
      <c r="G105" s="21">
        <f>+D105-53326</f>
        <v>53865</v>
      </c>
      <c r="H105" s="23">
        <f>(+F105-G105)/G105</f>
        <v>-0.08788638262322473</v>
      </c>
      <c r="I105" s="24">
        <f>K105/C105</f>
        <v>31.22296543634175</v>
      </c>
      <c r="J105" s="24">
        <f>K105/F105</f>
        <v>61.76022165231728</v>
      </c>
      <c r="K105" s="21">
        <v>3034341.45</v>
      </c>
      <c r="L105" s="21">
        <v>3513989.83</v>
      </c>
      <c r="M105" s="25">
        <f>(+K105-L105)/L105</f>
        <v>-0.13649680369166006</v>
      </c>
      <c r="N105" s="10"/>
      <c r="R105" s="2"/>
    </row>
    <row r="106" spans="1:18" ht="15.75">
      <c r="A106" s="19"/>
      <c r="B106" s="20">
        <f>DATE(2013,8,1)</f>
        <v>41487</v>
      </c>
      <c r="C106" s="21">
        <v>99168</v>
      </c>
      <c r="D106" s="21">
        <v>103185</v>
      </c>
      <c r="E106" s="23">
        <f>(+C106-D106)/D106</f>
        <v>-0.03893007704608228</v>
      </c>
      <c r="F106" s="21">
        <f>+C106-49688</f>
        <v>49480</v>
      </c>
      <c r="G106" s="21">
        <f>+D106-51096</f>
        <v>52089</v>
      </c>
      <c r="H106" s="23">
        <f>(+F106-G106)/G106</f>
        <v>-0.050087350496266</v>
      </c>
      <c r="I106" s="24">
        <f>K106/C106</f>
        <v>31.87369968134882</v>
      </c>
      <c r="J106" s="24">
        <f>K106/F106</f>
        <v>63.88138742926434</v>
      </c>
      <c r="K106" s="21">
        <v>3160851.05</v>
      </c>
      <c r="L106" s="21">
        <v>3293058.54</v>
      </c>
      <c r="M106" s="25">
        <f>(+K106-L106)/L106</f>
        <v>-0.040147324559860455</v>
      </c>
      <c r="N106" s="10"/>
      <c r="R106" s="2"/>
    </row>
    <row r="107" spans="1:18" ht="15.75">
      <c r="A107" s="19"/>
      <c r="B107" s="20">
        <f>DATE(2013,9,1)</f>
        <v>41518</v>
      </c>
      <c r="C107" s="21">
        <v>92299</v>
      </c>
      <c r="D107" s="21">
        <v>99750</v>
      </c>
      <c r="E107" s="23">
        <f>(+C107-D107)/D107</f>
        <v>-0.0746967418546366</v>
      </c>
      <c r="F107" s="21">
        <f>C107-46130</f>
        <v>46169</v>
      </c>
      <c r="G107" s="21">
        <f>D107-50114</f>
        <v>49636</v>
      </c>
      <c r="H107" s="23">
        <f>(+F107-G107)/G107</f>
        <v>-0.0698484970585865</v>
      </c>
      <c r="I107" s="24">
        <f>K107/C107</f>
        <v>32.435920865881535</v>
      </c>
      <c r="J107" s="24">
        <f>K107/F107</f>
        <v>64.84444237475363</v>
      </c>
      <c r="K107" s="21">
        <v>2993803.06</v>
      </c>
      <c r="L107" s="21">
        <v>3260299.38</v>
      </c>
      <c r="M107" s="25">
        <f>(+K107-L107)/L107</f>
        <v>-0.08173983089859675</v>
      </c>
      <c r="N107" s="10"/>
      <c r="R107" s="2"/>
    </row>
    <row r="108" spans="1:18" ht="15.75">
      <c r="A108" s="19"/>
      <c r="B108" s="20">
        <f>DATE(2013,10,1)</f>
        <v>41548</v>
      </c>
      <c r="C108" s="21">
        <v>93567</v>
      </c>
      <c r="D108" s="21">
        <v>98690</v>
      </c>
      <c r="E108" s="23">
        <f>(+C108-D108)/D108</f>
        <v>-0.05191002127875165</v>
      </c>
      <c r="F108" s="21">
        <f>C108-45748</f>
        <v>47819</v>
      </c>
      <c r="G108" s="21">
        <f>D108-49516</f>
        <v>49174</v>
      </c>
      <c r="H108" s="23">
        <f>(+F108-G108)/G108</f>
        <v>-0.027555212103957376</v>
      </c>
      <c r="I108" s="24">
        <f>K108/C108</f>
        <v>33.09899045603685</v>
      </c>
      <c r="J108" s="24">
        <f>K108/F108</f>
        <v>64.76449193835087</v>
      </c>
      <c r="K108" s="21">
        <v>3096973.24</v>
      </c>
      <c r="L108" s="21">
        <v>3296902.63</v>
      </c>
      <c r="M108" s="25">
        <f>(+K108-L108)/L108</f>
        <v>-0.06064158164112953</v>
      </c>
      <c r="N108" s="10"/>
      <c r="R108" s="2"/>
    </row>
    <row r="109" spans="1:18" ht="15.75">
      <c r="A109" s="19"/>
      <c r="B109" s="20">
        <f>DATE(2013,11,1)</f>
        <v>41579</v>
      </c>
      <c r="C109" s="21">
        <v>92984</v>
      </c>
      <c r="D109" s="21">
        <v>99796</v>
      </c>
      <c r="E109" s="23">
        <f>(+C109-D109)/D109</f>
        <v>-0.06825924886769008</v>
      </c>
      <c r="F109" s="21">
        <f>+C109-46573</f>
        <v>46411</v>
      </c>
      <c r="G109" s="21">
        <f>+D109-50642</f>
        <v>49154</v>
      </c>
      <c r="H109" s="23">
        <f>(+F109-G109)/G109</f>
        <v>-0.05580420718558001</v>
      </c>
      <c r="I109" s="24">
        <f>K109/C109</f>
        <v>31.52085068398864</v>
      </c>
      <c r="J109" s="24">
        <f>K109/F109</f>
        <v>63.151726530348405</v>
      </c>
      <c r="K109" s="21">
        <v>2930934.78</v>
      </c>
      <c r="L109" s="21">
        <v>3247633.48</v>
      </c>
      <c r="M109" s="25">
        <f>(+K109-L109)/L109</f>
        <v>-0.09751676165131792</v>
      </c>
      <c r="N109" s="10"/>
      <c r="R109" s="2"/>
    </row>
    <row r="110" spans="1:18" ht="15.75" thickBot="1">
      <c r="A110" s="38"/>
      <c r="B110" s="46"/>
      <c r="C110" s="21"/>
      <c r="D110" s="21"/>
      <c r="E110" s="23"/>
      <c r="F110" s="21"/>
      <c r="G110" s="21"/>
      <c r="H110" s="23"/>
      <c r="I110" s="24"/>
      <c r="J110" s="24"/>
      <c r="K110" s="21"/>
      <c r="L110" s="21"/>
      <c r="M110" s="25"/>
      <c r="N110" s="10"/>
      <c r="R110" s="2"/>
    </row>
    <row r="111" spans="1:18" ht="17.25" thickBot="1" thickTop="1">
      <c r="A111" s="26" t="s">
        <v>14</v>
      </c>
      <c r="B111" s="27"/>
      <c r="C111" s="28">
        <f>SUM(C105:C110)</f>
        <v>475201</v>
      </c>
      <c r="D111" s="28">
        <f>SUM(D105:D110)</f>
        <v>508612</v>
      </c>
      <c r="E111" s="42">
        <f>(+C111-D111)/D111</f>
        <v>-0.06569054603509158</v>
      </c>
      <c r="F111" s="28">
        <f>SUM(F105:F110)</f>
        <v>239010</v>
      </c>
      <c r="G111" s="28">
        <f>SUM(G105:G110)</f>
        <v>253918</v>
      </c>
      <c r="H111" s="43">
        <f>(+F111-G111)/G111</f>
        <v>-0.058711867610803485</v>
      </c>
      <c r="I111" s="44">
        <f>K111/C111</f>
        <v>32.02203610682638</v>
      </c>
      <c r="J111" s="44">
        <f>K111/F111</f>
        <v>63.66638877034434</v>
      </c>
      <c r="K111" s="28">
        <f>SUM(K105:K110)</f>
        <v>15216903.58</v>
      </c>
      <c r="L111" s="28">
        <f>SUM(L105:L110)</f>
        <v>16611883.86</v>
      </c>
      <c r="M111" s="45">
        <f>(+K111-L111)/L111</f>
        <v>-0.0839748394436463</v>
      </c>
      <c r="N111" s="10"/>
      <c r="R111" s="2"/>
    </row>
    <row r="112" spans="1:18" ht="16.5" thickBot="1" thickTop="1">
      <c r="A112" s="64"/>
      <c r="B112" s="34"/>
      <c r="C112" s="35"/>
      <c r="D112" s="35"/>
      <c r="E112" s="29"/>
      <c r="F112" s="35"/>
      <c r="G112" s="35"/>
      <c r="H112" s="29"/>
      <c r="I112" s="36"/>
      <c r="J112" s="36"/>
      <c r="K112" s="35"/>
      <c r="L112" s="35"/>
      <c r="M112" s="37"/>
      <c r="N112" s="10"/>
      <c r="R112" s="2"/>
    </row>
    <row r="113" spans="1:18" ht="17.25" thickBot="1" thickTop="1">
      <c r="A113" s="65" t="s">
        <v>20</v>
      </c>
      <c r="B113" s="66"/>
      <c r="C113" s="28">
        <f>C111+C103+C47+C63+C71+C31+C15+C79+C87+C39+C95+C23+C55</f>
        <v>19052084</v>
      </c>
      <c r="D113" s="28">
        <f>D111+D103+D47+D63+D71+D31+D15+D79+D87+D39+D95+D23+D55</f>
        <v>20397433</v>
      </c>
      <c r="E113" s="29">
        <f>(+C113-D113)/D113</f>
        <v>-0.06595677995363436</v>
      </c>
      <c r="F113" s="28">
        <f>F111+F103+F47+F63+F71+F31+F15+F79+F87+F39+F95+F23+F55</f>
        <v>9474096</v>
      </c>
      <c r="G113" s="28">
        <f>G111+G103+G47+G63+G71+G31+G15+G79+G87+G39+G95+G23+G55</f>
        <v>10099555</v>
      </c>
      <c r="H113" s="30">
        <f>(+F113-G113)/G113</f>
        <v>-0.061929362234276655</v>
      </c>
      <c r="I113" s="31">
        <f>K113/C113</f>
        <v>36.537410088576145</v>
      </c>
      <c r="J113" s="31">
        <f>K113/F113</f>
        <v>73.47548580360596</v>
      </c>
      <c r="K113" s="28">
        <f>K111+K103+K47+K63+K71+K31+K15+K79+K87+K39+K95+K23+K55</f>
        <v>696113806.1500001</v>
      </c>
      <c r="L113" s="28">
        <f>L111+L103+L47+L63+L71+L31+L15+L79+L87+L39+L95+L23+L55</f>
        <v>717277877.12</v>
      </c>
      <c r="M113" s="32">
        <f>(+K113-L113)/L113</f>
        <v>-0.029506097490386112</v>
      </c>
      <c r="N113" s="10"/>
      <c r="R113" s="2"/>
    </row>
    <row r="114" spans="1:18" ht="17.25" thickBot="1" thickTop="1">
      <c r="A114" s="65"/>
      <c r="B114" s="66"/>
      <c r="C114" s="28"/>
      <c r="D114" s="28"/>
      <c r="E114" s="29"/>
      <c r="F114" s="28"/>
      <c r="G114" s="28"/>
      <c r="H114" s="30"/>
      <c r="I114" s="31"/>
      <c r="J114" s="31"/>
      <c r="K114" s="28"/>
      <c r="L114" s="28"/>
      <c r="M114" s="32"/>
      <c r="N114" s="10"/>
      <c r="R114" s="2"/>
    </row>
    <row r="115" spans="1:18" ht="17.25" thickBot="1" thickTop="1">
      <c r="A115" s="65" t="s">
        <v>21</v>
      </c>
      <c r="B115" s="66"/>
      <c r="C115" s="28">
        <f>+C13+C21+C29+C37+C45+C53+C61+C69+C77+C85+C93+C101+C109</f>
        <v>3749628</v>
      </c>
      <c r="D115" s="28">
        <f>+D13+D21+D29+D37+D45+D53+D61+D69+D77+D85+D93+D101+D109</f>
        <v>4042587</v>
      </c>
      <c r="E115" s="29">
        <f>(+C115-D115)/D115</f>
        <v>-0.07246819920016563</v>
      </c>
      <c r="F115" s="28">
        <f>+F13+F21+F29+F37+F45+F53+F61+F69+F77+F85+F93+F101+F109</f>
        <v>1835055</v>
      </c>
      <c r="G115" s="28">
        <f>+G13+G21+G29+G37+G45+G53+G61+G69+G77+G85+G93+G101+G109</f>
        <v>2001658</v>
      </c>
      <c r="H115" s="30">
        <f>(+F115-G115)/G115</f>
        <v>-0.0832325002572867</v>
      </c>
      <c r="I115" s="31">
        <f>K115/C115</f>
        <v>36.98375947694011</v>
      </c>
      <c r="J115" s="31">
        <f>K115/F115</f>
        <v>75.57012736947938</v>
      </c>
      <c r="K115" s="28">
        <f>+K13+K21+K29+K37+K45+K53+K61+K69+K77+K85+K93+K101+K109</f>
        <v>138675340.07999998</v>
      </c>
      <c r="L115" s="28">
        <f>+L13+L21+L29+L37+L45+L53+L61+L69+L77+L85+L93+L101+L109</f>
        <v>142330345.98999998</v>
      </c>
      <c r="M115" s="45">
        <f>(+K115-L115)/L115</f>
        <v>-0.02567973740650356</v>
      </c>
      <c r="N115" s="10"/>
      <c r="R115" s="2"/>
    </row>
    <row r="116" spans="1:18" ht="15.75" thickTop="1">
      <c r="A116" s="67"/>
      <c r="B116" s="68"/>
      <c r="C116" s="69"/>
      <c r="D116" s="68"/>
      <c r="E116" s="68"/>
      <c r="F116" s="68"/>
      <c r="G116" s="68"/>
      <c r="H116" s="68"/>
      <c r="I116" s="68"/>
      <c r="J116" s="68"/>
      <c r="K116" s="69"/>
      <c r="L116" s="69"/>
      <c r="M116" s="68"/>
      <c r="R116" s="2"/>
    </row>
    <row r="117" spans="1:18" ht="15.75">
      <c r="A117" s="279" t="s">
        <v>63</v>
      </c>
      <c r="B117" s="264"/>
      <c r="C117" s="265"/>
      <c r="D117" s="264"/>
      <c r="E117" s="264"/>
      <c r="F117" s="264"/>
      <c r="G117" s="264"/>
      <c r="H117" s="264"/>
      <c r="I117" s="264"/>
      <c r="J117" s="264"/>
      <c r="K117" s="265"/>
      <c r="L117" s="265"/>
      <c r="M117" s="264"/>
      <c r="R117" s="2"/>
    </row>
    <row r="118" spans="1:18" ht="15.75">
      <c r="A118" s="259" t="s">
        <v>69</v>
      </c>
      <c r="B118" s="261"/>
      <c r="C118" s="262"/>
      <c r="D118" s="262"/>
      <c r="E118" s="262"/>
      <c r="F118" s="263"/>
      <c r="G118" s="260"/>
      <c r="H118" s="260"/>
      <c r="I118" s="264"/>
      <c r="J118" s="264"/>
      <c r="K118" s="265"/>
      <c r="L118" s="265"/>
      <c r="M118" s="264"/>
      <c r="R118" s="2"/>
    </row>
    <row r="119" spans="1:18" ht="18.75">
      <c r="A119" s="269" t="s">
        <v>22</v>
      </c>
      <c r="B119" s="71"/>
      <c r="C119" s="72"/>
      <c r="D119" s="72"/>
      <c r="E119" s="72"/>
      <c r="F119" s="72"/>
      <c r="G119" s="72"/>
      <c r="H119" s="72"/>
      <c r="I119" s="72"/>
      <c r="J119" s="72"/>
      <c r="K119" s="201"/>
      <c r="L119" s="201"/>
      <c r="M119" s="72"/>
      <c r="N119" s="2"/>
      <c r="O119" s="2"/>
      <c r="P119" s="2"/>
      <c r="Q119" s="2"/>
      <c r="R119" s="2"/>
    </row>
    <row r="120" spans="1:18" ht="18">
      <c r="A120" s="70"/>
      <c r="B120" s="71"/>
      <c r="C120" s="72"/>
      <c r="D120" s="72"/>
      <c r="E120" s="72"/>
      <c r="F120" s="72"/>
      <c r="G120" s="72"/>
      <c r="H120" s="72"/>
      <c r="I120" s="72"/>
      <c r="J120" s="72"/>
      <c r="K120" s="201"/>
      <c r="L120" s="201"/>
      <c r="M120" s="72"/>
      <c r="N120" s="2"/>
      <c r="O120" s="2"/>
      <c r="P120" s="2"/>
      <c r="Q120" s="2"/>
      <c r="R120" s="2"/>
    </row>
    <row r="121" spans="1:18" ht="15.75">
      <c r="A121" s="73"/>
      <c r="B121" s="74"/>
      <c r="C121" s="75"/>
      <c r="D121" s="75"/>
      <c r="E121" s="75"/>
      <c r="F121" s="75"/>
      <c r="G121" s="75"/>
      <c r="H121" s="75"/>
      <c r="I121" s="75"/>
      <c r="J121" s="75"/>
      <c r="K121" s="195"/>
      <c r="L121" s="195"/>
      <c r="M121" s="76"/>
      <c r="N121" s="2"/>
      <c r="O121" s="2"/>
      <c r="P121" s="2"/>
      <c r="Q121" s="2"/>
      <c r="R121" s="2"/>
    </row>
    <row r="122" spans="1:18" ht="15">
      <c r="A122" s="2"/>
      <c r="B122" s="74"/>
      <c r="C122" s="75"/>
      <c r="D122" s="75"/>
      <c r="E122" s="75"/>
      <c r="F122" s="75"/>
      <c r="G122" s="75"/>
      <c r="H122" s="75"/>
      <c r="I122" s="75"/>
      <c r="J122" s="75"/>
      <c r="K122" s="195"/>
      <c r="L122" s="195"/>
      <c r="M122" s="76"/>
      <c r="N122" s="2"/>
      <c r="O122" s="2"/>
      <c r="P122" s="2"/>
      <c r="Q122" s="2"/>
      <c r="R122" s="2"/>
    </row>
    <row r="123" spans="1:18" ht="15">
      <c r="A123" s="2"/>
      <c r="B123" s="74"/>
      <c r="C123" s="75"/>
      <c r="D123" s="75"/>
      <c r="E123" s="75"/>
      <c r="F123" s="75"/>
      <c r="G123" s="75"/>
      <c r="H123" s="75"/>
      <c r="I123" s="75"/>
      <c r="J123" s="75"/>
      <c r="K123" s="195"/>
      <c r="L123" s="195"/>
      <c r="M123" s="76"/>
      <c r="N123" s="2"/>
      <c r="O123" s="2"/>
      <c r="P123" s="2"/>
      <c r="Q123" s="2"/>
      <c r="R123" s="2"/>
    </row>
    <row r="124" spans="1:18" ht="15">
      <c r="A124" s="2"/>
      <c r="B124" s="74"/>
      <c r="C124" s="75"/>
      <c r="D124" s="75"/>
      <c r="E124" s="75"/>
      <c r="F124" s="75"/>
      <c r="G124" s="75"/>
      <c r="H124" s="75"/>
      <c r="I124" s="75"/>
      <c r="J124" s="75"/>
      <c r="K124" s="195"/>
      <c r="L124" s="195"/>
      <c r="M124" s="76"/>
      <c r="N124" s="2"/>
      <c r="O124" s="2"/>
      <c r="P124" s="2"/>
      <c r="Q124" s="2"/>
      <c r="R124" s="2"/>
    </row>
    <row r="125" spans="1:18" ht="15">
      <c r="A125" s="2"/>
      <c r="B125" s="74"/>
      <c r="C125" s="75"/>
      <c r="D125" s="75"/>
      <c r="E125" s="75"/>
      <c r="F125" s="75"/>
      <c r="G125" s="75"/>
      <c r="H125" s="75"/>
      <c r="I125" s="75"/>
      <c r="J125" s="75"/>
      <c r="K125" s="195"/>
      <c r="L125" s="195"/>
      <c r="M125" s="76"/>
      <c r="N125" s="2"/>
      <c r="O125" s="2"/>
      <c r="P125" s="2"/>
      <c r="Q125" s="2"/>
      <c r="R125" s="2"/>
    </row>
    <row r="126" spans="1:18" ht="15">
      <c r="A126" s="2"/>
      <c r="B126" s="74"/>
      <c r="C126" s="75"/>
      <c r="D126" s="75"/>
      <c r="E126" s="75"/>
      <c r="F126" s="75"/>
      <c r="G126" s="75"/>
      <c r="H126" s="75"/>
      <c r="I126" s="75"/>
      <c r="J126" s="75"/>
      <c r="K126" s="195"/>
      <c r="L126" s="195"/>
      <c r="M126" s="76"/>
      <c r="N126" s="2"/>
      <c r="O126" s="2"/>
      <c r="P126" s="2"/>
      <c r="Q126" s="2"/>
      <c r="R126" s="2"/>
    </row>
    <row r="127" spans="1:18" ht="15">
      <c r="A127" s="2"/>
      <c r="B127" s="74"/>
      <c r="C127" s="75"/>
      <c r="D127" s="75"/>
      <c r="E127" s="75"/>
      <c r="F127" s="75"/>
      <c r="G127" s="75"/>
      <c r="H127" s="75"/>
      <c r="I127" s="75"/>
      <c r="J127" s="75"/>
      <c r="K127" s="195"/>
      <c r="L127" s="195"/>
      <c r="M127" s="76"/>
      <c r="N127" s="2"/>
      <c r="O127" s="2"/>
      <c r="P127" s="2"/>
      <c r="Q127" s="2"/>
      <c r="R127" s="2"/>
    </row>
    <row r="128" spans="1:18" ht="15">
      <c r="A128" s="2"/>
      <c r="B128" s="74"/>
      <c r="C128" s="75"/>
      <c r="D128" s="75"/>
      <c r="E128" s="75"/>
      <c r="F128" s="75"/>
      <c r="G128" s="75"/>
      <c r="H128" s="75"/>
      <c r="I128" s="75"/>
      <c r="J128" s="75"/>
      <c r="K128" s="195"/>
      <c r="L128" s="195"/>
      <c r="M128" s="76"/>
      <c r="N128" s="2"/>
      <c r="O128" s="2"/>
      <c r="P128" s="2"/>
      <c r="Q128" s="2"/>
      <c r="R128" s="2"/>
    </row>
    <row r="129" spans="1:18" ht="15">
      <c r="A129" s="2"/>
      <c r="B129" s="74"/>
      <c r="C129" s="75"/>
      <c r="D129" s="75"/>
      <c r="E129" s="75"/>
      <c r="F129" s="75"/>
      <c r="G129" s="75"/>
      <c r="H129" s="75"/>
      <c r="I129" s="75"/>
      <c r="J129" s="75"/>
      <c r="K129" s="195"/>
      <c r="L129" s="195"/>
      <c r="M129" s="76"/>
      <c r="N129" s="2"/>
      <c r="O129" s="2"/>
      <c r="P129" s="2"/>
      <c r="Q129" s="2"/>
      <c r="R129" s="2"/>
    </row>
    <row r="130" spans="1:18" ht="15">
      <c r="A130" s="2"/>
      <c r="B130" s="74"/>
      <c r="C130" s="75"/>
      <c r="D130" s="75"/>
      <c r="E130" s="75"/>
      <c r="F130" s="75"/>
      <c r="G130" s="75"/>
      <c r="H130" s="75"/>
      <c r="I130" s="75"/>
      <c r="J130" s="75"/>
      <c r="K130" s="195"/>
      <c r="L130" s="195"/>
      <c r="M130" s="75"/>
      <c r="N130" s="2"/>
      <c r="O130" s="2"/>
      <c r="P130" s="2"/>
      <c r="Q130" s="2"/>
      <c r="R130" s="2"/>
    </row>
    <row r="131" spans="1:18" ht="15">
      <c r="A131" s="2"/>
      <c r="B131" s="74"/>
      <c r="C131" s="75"/>
      <c r="D131" s="75"/>
      <c r="E131" s="75"/>
      <c r="F131" s="75"/>
      <c r="G131" s="75"/>
      <c r="H131" s="75"/>
      <c r="I131" s="75"/>
      <c r="J131" s="75"/>
      <c r="K131" s="195"/>
      <c r="L131" s="195"/>
      <c r="M131" s="75"/>
      <c r="N131" s="2"/>
      <c r="O131" s="2"/>
      <c r="P131" s="2"/>
      <c r="Q131" s="2"/>
      <c r="R131" s="2"/>
    </row>
    <row r="132" spans="1:18" ht="15">
      <c r="A132" s="2"/>
      <c r="B132" s="71"/>
      <c r="C132" s="75"/>
      <c r="D132" s="75"/>
      <c r="E132" s="75"/>
      <c r="F132" s="75"/>
      <c r="G132" s="75"/>
      <c r="H132" s="75"/>
      <c r="I132" s="75"/>
      <c r="J132" s="75"/>
      <c r="K132" s="195"/>
      <c r="L132" s="195"/>
      <c r="M132" s="75"/>
      <c r="N132" s="2"/>
      <c r="O132" s="2"/>
      <c r="P132" s="2"/>
      <c r="Q132" s="2"/>
      <c r="R132" s="2"/>
    </row>
    <row r="133" spans="1:18" ht="15.75">
      <c r="A133" s="77"/>
      <c r="B133" s="71"/>
      <c r="C133" s="75"/>
      <c r="D133" s="75"/>
      <c r="E133" s="75"/>
      <c r="F133" s="75"/>
      <c r="G133" s="75"/>
      <c r="H133" s="75"/>
      <c r="I133" s="75"/>
      <c r="J133" s="75"/>
      <c r="K133" s="195"/>
      <c r="L133" s="195"/>
      <c r="M133" s="76"/>
      <c r="N133" s="2"/>
      <c r="O133" s="2"/>
      <c r="P133" s="2"/>
      <c r="Q133" s="2"/>
      <c r="R133" s="2"/>
    </row>
    <row r="134" spans="1:18" ht="15.75">
      <c r="A134" s="77"/>
      <c r="B134" s="71"/>
      <c r="C134" s="75"/>
      <c r="D134" s="75"/>
      <c r="E134" s="75"/>
      <c r="F134" s="75"/>
      <c r="G134" s="75"/>
      <c r="H134" s="75"/>
      <c r="I134" s="75"/>
      <c r="J134" s="75"/>
      <c r="K134" s="195"/>
      <c r="L134" s="195"/>
      <c r="M134" s="76"/>
      <c r="N134" s="2"/>
      <c r="O134" s="2"/>
      <c r="P134" s="2"/>
      <c r="Q134" s="2"/>
      <c r="R134" s="2"/>
    </row>
    <row r="135" spans="1:18" ht="15.75">
      <c r="A135" s="77"/>
      <c r="B135" s="71"/>
      <c r="C135" s="75"/>
      <c r="D135" s="75"/>
      <c r="E135" s="75"/>
      <c r="F135" s="75"/>
      <c r="G135" s="75"/>
      <c r="H135" s="75"/>
      <c r="I135" s="75"/>
      <c r="J135" s="75"/>
      <c r="K135" s="195"/>
      <c r="L135" s="195"/>
      <c r="M135" s="76"/>
      <c r="N135" s="2"/>
      <c r="O135" s="2"/>
      <c r="P135" s="2"/>
      <c r="Q135" s="2"/>
      <c r="R135" s="2"/>
    </row>
    <row r="136" spans="1:18" ht="15">
      <c r="A136" s="2"/>
      <c r="B136" s="71"/>
      <c r="C136" s="75"/>
      <c r="D136" s="75"/>
      <c r="E136" s="75"/>
      <c r="F136" s="75"/>
      <c r="G136" s="75"/>
      <c r="H136" s="75"/>
      <c r="I136" s="75"/>
      <c r="J136" s="75"/>
      <c r="K136" s="195"/>
      <c r="L136" s="195"/>
      <c r="M136" s="76"/>
      <c r="N136" s="2"/>
      <c r="O136" s="2"/>
      <c r="P136" s="2"/>
      <c r="Q136" s="2"/>
      <c r="R136" s="2"/>
    </row>
    <row r="137" spans="1:18" ht="15.75">
      <c r="A137" s="77"/>
      <c r="B137" s="74"/>
      <c r="C137" s="75"/>
      <c r="D137" s="75"/>
      <c r="E137" s="75"/>
      <c r="F137" s="75"/>
      <c r="G137" s="75"/>
      <c r="H137" s="75"/>
      <c r="I137" s="75"/>
      <c r="J137" s="75"/>
      <c r="K137" s="195"/>
      <c r="L137" s="195"/>
      <c r="M137" s="76"/>
      <c r="N137" s="2"/>
      <c r="O137" s="2"/>
      <c r="P137" s="2"/>
      <c r="Q137" s="2"/>
      <c r="R137" s="2"/>
    </row>
    <row r="138" spans="1:18" ht="15">
      <c r="A138" s="2"/>
      <c r="B138" s="74"/>
      <c r="C138" s="75"/>
      <c r="D138" s="75"/>
      <c r="E138" s="75"/>
      <c r="F138" s="75"/>
      <c r="G138" s="75"/>
      <c r="H138" s="75"/>
      <c r="I138" s="75"/>
      <c r="J138" s="75"/>
      <c r="K138" s="195"/>
      <c r="L138" s="195"/>
      <c r="M138" s="76"/>
      <c r="N138" s="2"/>
      <c r="O138" s="2"/>
      <c r="P138" s="2"/>
      <c r="Q138" s="2"/>
      <c r="R138" s="2"/>
    </row>
    <row r="139" spans="1:18" ht="15">
      <c r="A139" s="2"/>
      <c r="B139" s="74"/>
      <c r="C139" s="75"/>
      <c r="D139" s="75"/>
      <c r="E139" s="75"/>
      <c r="F139" s="75"/>
      <c r="G139" s="75"/>
      <c r="H139" s="75"/>
      <c r="I139" s="75"/>
      <c r="J139" s="75"/>
      <c r="K139" s="195"/>
      <c r="L139" s="195"/>
      <c r="M139" s="76"/>
      <c r="N139" s="2"/>
      <c r="O139" s="2"/>
      <c r="P139" s="2"/>
      <c r="Q139" s="2"/>
      <c r="R139" s="2"/>
    </row>
    <row r="140" spans="1:18" ht="15">
      <c r="A140" s="2"/>
      <c r="B140" s="78"/>
      <c r="C140" s="75"/>
      <c r="D140" s="75"/>
      <c r="E140" s="75"/>
      <c r="F140" s="75"/>
      <c r="G140" s="75"/>
      <c r="H140" s="75"/>
      <c r="I140" s="75"/>
      <c r="J140" s="75"/>
      <c r="K140" s="195"/>
      <c r="L140" s="195"/>
      <c r="M140" s="76"/>
      <c r="N140" s="2"/>
      <c r="O140" s="2"/>
      <c r="P140" s="2"/>
      <c r="Q140" s="2"/>
      <c r="R140" s="2"/>
    </row>
    <row r="141" spans="1:18" ht="15">
      <c r="A141" s="2"/>
      <c r="B141" s="78"/>
      <c r="C141" s="75"/>
      <c r="D141" s="75"/>
      <c r="E141" s="75"/>
      <c r="F141" s="75"/>
      <c r="G141" s="75"/>
      <c r="H141" s="75"/>
      <c r="I141" s="75"/>
      <c r="J141" s="75"/>
      <c r="K141" s="195"/>
      <c r="L141" s="195"/>
      <c r="M141" s="76"/>
      <c r="N141" s="2"/>
      <c r="O141" s="2"/>
      <c r="P141" s="2"/>
      <c r="Q141" s="2"/>
      <c r="R141" s="2"/>
    </row>
    <row r="142" spans="1:18" ht="15">
      <c r="A142" s="2"/>
      <c r="B142" s="78"/>
      <c r="C142" s="75"/>
      <c r="D142" s="75"/>
      <c r="E142" s="75"/>
      <c r="F142" s="75"/>
      <c r="G142" s="75"/>
      <c r="H142" s="75"/>
      <c r="I142" s="75"/>
      <c r="J142" s="75"/>
      <c r="K142" s="195"/>
      <c r="L142" s="195"/>
      <c r="M142" s="76"/>
      <c r="N142" s="2"/>
      <c r="O142" s="2"/>
      <c r="P142" s="2"/>
      <c r="Q142" s="2"/>
      <c r="R142" s="2"/>
    </row>
    <row r="143" spans="1:18" ht="15">
      <c r="A143" s="2"/>
      <c r="B143" s="78"/>
      <c r="C143" s="75"/>
      <c r="D143" s="75"/>
      <c r="E143" s="75"/>
      <c r="F143" s="75"/>
      <c r="G143" s="75"/>
      <c r="H143" s="75"/>
      <c r="I143" s="75"/>
      <c r="J143" s="75"/>
      <c r="K143" s="195"/>
      <c r="L143" s="195"/>
      <c r="M143" s="76"/>
      <c r="N143" s="2"/>
      <c r="O143" s="2"/>
      <c r="P143" s="2"/>
      <c r="Q143" s="2"/>
      <c r="R143" s="2"/>
    </row>
    <row r="144" spans="1:18" ht="15">
      <c r="A144" s="2"/>
      <c r="B144" s="78"/>
      <c r="C144" s="75"/>
      <c r="D144" s="75"/>
      <c r="E144" s="75"/>
      <c r="F144" s="75"/>
      <c r="G144" s="75"/>
      <c r="H144" s="75"/>
      <c r="I144" s="75"/>
      <c r="J144" s="75"/>
      <c r="K144" s="195"/>
      <c r="L144" s="195"/>
      <c r="M144" s="76"/>
      <c r="N144" s="2"/>
      <c r="O144" s="2"/>
      <c r="P144" s="2"/>
      <c r="Q144" s="2"/>
      <c r="R144" s="2"/>
    </row>
    <row r="145" spans="1:18" ht="15">
      <c r="A145" s="2"/>
      <c r="B145" s="78"/>
      <c r="C145" s="75"/>
      <c r="D145" s="75"/>
      <c r="E145" s="75"/>
      <c r="F145" s="75"/>
      <c r="G145" s="75"/>
      <c r="H145" s="75"/>
      <c r="I145" s="75"/>
      <c r="J145" s="75"/>
      <c r="K145" s="195"/>
      <c r="L145" s="195"/>
      <c r="M145" s="76"/>
      <c r="N145" s="2"/>
      <c r="O145" s="2"/>
      <c r="P145" s="2"/>
      <c r="Q145" s="2"/>
      <c r="R145" s="2"/>
    </row>
    <row r="146" spans="1:18" ht="15">
      <c r="A146" s="2"/>
      <c r="B146" s="78"/>
      <c r="C146" s="75"/>
      <c r="D146" s="75"/>
      <c r="E146" s="75"/>
      <c r="F146" s="75"/>
      <c r="G146" s="75"/>
      <c r="H146" s="75"/>
      <c r="I146" s="75"/>
      <c r="J146" s="75"/>
      <c r="K146" s="195"/>
      <c r="L146" s="195"/>
      <c r="M146" s="76"/>
      <c r="N146" s="2"/>
      <c r="O146" s="2"/>
      <c r="P146" s="2"/>
      <c r="Q146" s="2"/>
      <c r="R146" s="2"/>
    </row>
    <row r="147" spans="1:18" ht="15">
      <c r="A147" s="2"/>
      <c r="B147" s="78"/>
      <c r="C147" s="75"/>
      <c r="D147" s="75"/>
      <c r="E147" s="75"/>
      <c r="F147" s="75"/>
      <c r="G147" s="75"/>
      <c r="H147" s="75"/>
      <c r="I147" s="75"/>
      <c r="J147" s="75"/>
      <c r="K147" s="195"/>
      <c r="L147" s="195"/>
      <c r="M147" s="76"/>
      <c r="N147" s="2"/>
      <c r="O147" s="2"/>
      <c r="P147" s="2"/>
      <c r="Q147" s="2"/>
      <c r="R147" s="2"/>
    </row>
    <row r="148" spans="1:18" ht="15">
      <c r="A148" s="2"/>
      <c r="B148" s="78"/>
      <c r="C148" s="75"/>
      <c r="D148" s="75"/>
      <c r="E148" s="75"/>
      <c r="F148" s="75"/>
      <c r="G148" s="75"/>
      <c r="H148" s="75"/>
      <c r="I148" s="75"/>
      <c r="J148" s="75"/>
      <c r="K148" s="195"/>
      <c r="L148" s="195"/>
      <c r="M148" s="76"/>
      <c r="N148" s="2"/>
      <c r="O148" s="2"/>
      <c r="P148" s="2"/>
      <c r="Q148" s="2"/>
      <c r="R148" s="2"/>
    </row>
    <row r="149" spans="1:18" ht="15">
      <c r="A149" s="2"/>
      <c r="B149" s="2"/>
      <c r="C149" s="75"/>
      <c r="D149" s="75"/>
      <c r="E149" s="75"/>
      <c r="F149" s="75"/>
      <c r="G149" s="75"/>
      <c r="H149" s="75"/>
      <c r="I149" s="75"/>
      <c r="J149" s="75"/>
      <c r="K149" s="195"/>
      <c r="L149" s="195"/>
      <c r="M149" s="76"/>
      <c r="N149" s="2"/>
      <c r="O149" s="2"/>
      <c r="P149" s="2"/>
      <c r="Q149" s="2"/>
      <c r="R149" s="2"/>
    </row>
    <row r="150" spans="1:18" ht="15.75">
      <c r="A150" s="77"/>
      <c r="B150" s="2"/>
      <c r="C150" s="75"/>
      <c r="D150" s="75"/>
      <c r="E150" s="75"/>
      <c r="F150" s="75"/>
      <c r="G150" s="75"/>
      <c r="H150" s="75"/>
      <c r="I150" s="75"/>
      <c r="J150" s="75"/>
      <c r="K150" s="195"/>
      <c r="L150" s="195"/>
      <c r="M150" s="76"/>
      <c r="N150" s="2"/>
      <c r="O150" s="2"/>
      <c r="P150" s="2"/>
      <c r="Q150" s="2"/>
      <c r="R150" s="2"/>
    </row>
    <row r="151" spans="1:18" ht="15">
      <c r="A151" s="2"/>
      <c r="B151" s="2"/>
      <c r="C151" s="75"/>
      <c r="D151" s="75"/>
      <c r="E151" s="75"/>
      <c r="F151" s="75"/>
      <c r="G151" s="75"/>
      <c r="H151" s="75"/>
      <c r="I151" s="75"/>
      <c r="J151" s="75"/>
      <c r="K151" s="195"/>
      <c r="L151" s="195"/>
      <c r="M151" s="76"/>
      <c r="N151" s="2"/>
      <c r="O151" s="2"/>
      <c r="P151" s="2"/>
      <c r="Q151" s="2"/>
      <c r="R151" s="2"/>
    </row>
    <row r="152" spans="1:18" ht="15">
      <c r="A152" s="2"/>
      <c r="B152" s="2"/>
      <c r="C152" s="75"/>
      <c r="D152" s="75"/>
      <c r="E152" s="75"/>
      <c r="F152" s="75"/>
      <c r="G152" s="75"/>
      <c r="H152" s="75"/>
      <c r="I152" s="75"/>
      <c r="J152" s="75"/>
      <c r="K152" s="195"/>
      <c r="L152" s="195"/>
      <c r="M152" s="76"/>
      <c r="N152" s="2"/>
      <c r="O152" s="2"/>
      <c r="P152" s="2"/>
      <c r="Q152" s="2"/>
      <c r="R152" s="2"/>
    </row>
    <row r="153" spans="1:18" ht="15.75">
      <c r="A153" s="77"/>
      <c r="B153" s="2"/>
      <c r="C153" s="75"/>
      <c r="D153" s="75"/>
      <c r="E153" s="75"/>
      <c r="F153" s="75"/>
      <c r="G153" s="75"/>
      <c r="H153" s="75"/>
      <c r="I153" s="75"/>
      <c r="J153" s="75"/>
      <c r="K153" s="195"/>
      <c r="L153" s="195"/>
      <c r="M153" s="76"/>
      <c r="N153" s="2"/>
      <c r="O153" s="2"/>
      <c r="P153" s="2"/>
      <c r="Q153" s="2"/>
      <c r="R153" s="2"/>
    </row>
    <row r="154" spans="1:18" ht="15.75">
      <c r="A154" s="77"/>
      <c r="B154" s="2"/>
      <c r="C154" s="75"/>
      <c r="D154" s="75"/>
      <c r="E154" s="75"/>
      <c r="F154" s="75"/>
      <c r="G154" s="75"/>
      <c r="H154" s="75"/>
      <c r="I154" s="75"/>
      <c r="J154" s="75"/>
      <c r="K154" s="195"/>
      <c r="L154" s="195"/>
      <c r="M154" s="76"/>
      <c r="N154" s="2"/>
      <c r="O154" s="2"/>
      <c r="P154" s="2"/>
      <c r="Q154" s="2"/>
      <c r="R154" s="2"/>
    </row>
    <row r="155" spans="1:18" ht="15.75">
      <c r="A155" s="77"/>
      <c r="B155" s="78"/>
      <c r="C155" s="75"/>
      <c r="D155" s="75"/>
      <c r="E155" s="75"/>
      <c r="F155" s="75"/>
      <c r="G155" s="75"/>
      <c r="H155" s="75"/>
      <c r="I155" s="75"/>
      <c r="J155" s="75"/>
      <c r="K155" s="195"/>
      <c r="L155" s="195"/>
      <c r="M155" s="76"/>
      <c r="N155" s="2"/>
      <c r="O155" s="2"/>
      <c r="P155" s="2"/>
      <c r="Q155" s="2"/>
      <c r="R155" s="2"/>
    </row>
    <row r="156" spans="1:18" ht="15">
      <c r="A156" s="2"/>
      <c r="B156" s="78"/>
      <c r="C156" s="75"/>
      <c r="D156" s="75"/>
      <c r="E156" s="75"/>
      <c r="F156" s="75"/>
      <c r="G156" s="75"/>
      <c r="H156" s="75"/>
      <c r="I156" s="75"/>
      <c r="J156" s="75"/>
      <c r="K156" s="195"/>
      <c r="L156" s="195"/>
      <c r="M156" s="76"/>
      <c r="N156" s="2"/>
      <c r="O156" s="2"/>
      <c r="P156" s="2"/>
      <c r="Q156" s="2"/>
      <c r="R156" s="2"/>
    </row>
    <row r="157" spans="1:18" ht="15">
      <c r="A157" s="2"/>
      <c r="B157" s="78"/>
      <c r="C157" s="75"/>
      <c r="D157" s="75"/>
      <c r="E157" s="75"/>
      <c r="F157" s="75"/>
      <c r="G157" s="75"/>
      <c r="H157" s="75"/>
      <c r="I157" s="75"/>
      <c r="J157" s="75"/>
      <c r="K157" s="195"/>
      <c r="L157" s="195"/>
      <c r="M157" s="76"/>
      <c r="N157" s="2"/>
      <c r="O157" s="2"/>
      <c r="P157" s="2"/>
      <c r="Q157" s="2"/>
      <c r="R157" s="2"/>
    </row>
    <row r="158" spans="1:18" ht="15">
      <c r="A158" s="2"/>
      <c r="B158" s="78"/>
      <c r="C158" s="75"/>
      <c r="D158" s="75"/>
      <c r="E158" s="75"/>
      <c r="F158" s="75"/>
      <c r="G158" s="75"/>
      <c r="H158" s="75"/>
      <c r="I158" s="75"/>
      <c r="J158" s="75"/>
      <c r="K158" s="195"/>
      <c r="L158" s="195"/>
      <c r="M158" s="76"/>
      <c r="N158" s="2"/>
      <c r="O158" s="2"/>
      <c r="P158" s="2"/>
      <c r="Q158" s="2"/>
      <c r="R158" s="2"/>
    </row>
    <row r="159" spans="1:18" ht="15">
      <c r="A159" s="2"/>
      <c r="B159" s="78"/>
      <c r="C159" s="75"/>
      <c r="D159" s="75"/>
      <c r="E159" s="75"/>
      <c r="F159" s="75"/>
      <c r="G159" s="75"/>
      <c r="H159" s="75"/>
      <c r="I159" s="75"/>
      <c r="J159" s="75"/>
      <c r="K159" s="195"/>
      <c r="L159" s="195"/>
      <c r="M159" s="76"/>
      <c r="N159" s="2"/>
      <c r="O159" s="2"/>
      <c r="P159" s="2"/>
      <c r="Q159" s="2"/>
      <c r="R159" s="2"/>
    </row>
    <row r="160" spans="1:18" ht="15">
      <c r="A160" s="2"/>
      <c r="B160" s="78"/>
      <c r="C160" s="75"/>
      <c r="D160" s="75"/>
      <c r="E160" s="75"/>
      <c r="F160" s="75"/>
      <c r="G160" s="75"/>
      <c r="H160" s="75"/>
      <c r="I160" s="75"/>
      <c r="J160" s="75"/>
      <c r="K160" s="195"/>
      <c r="L160" s="195"/>
      <c r="M160" s="76"/>
      <c r="N160" s="2"/>
      <c r="O160" s="2"/>
      <c r="P160" s="2"/>
      <c r="Q160" s="2"/>
      <c r="R160" s="2"/>
    </row>
    <row r="161" spans="1:18" ht="15">
      <c r="A161" s="2"/>
      <c r="B161" s="78"/>
      <c r="C161" s="75"/>
      <c r="D161" s="75"/>
      <c r="E161" s="75"/>
      <c r="F161" s="75"/>
      <c r="G161" s="75"/>
      <c r="H161" s="75"/>
      <c r="I161" s="75"/>
      <c r="J161" s="75"/>
      <c r="K161" s="195"/>
      <c r="L161" s="195"/>
      <c r="M161" s="76"/>
      <c r="N161" s="2"/>
      <c r="O161" s="2"/>
      <c r="P161" s="2"/>
      <c r="Q161" s="2"/>
      <c r="R161" s="2"/>
    </row>
    <row r="162" spans="1:18" ht="15">
      <c r="A162" s="2"/>
      <c r="B162" s="78"/>
      <c r="C162" s="75"/>
      <c r="D162" s="75"/>
      <c r="E162" s="75"/>
      <c r="F162" s="75"/>
      <c r="G162" s="75"/>
      <c r="H162" s="75"/>
      <c r="I162" s="75"/>
      <c r="J162" s="75"/>
      <c r="K162" s="195"/>
      <c r="L162" s="195"/>
      <c r="M162" s="76"/>
      <c r="N162" s="2"/>
      <c r="O162" s="2"/>
      <c r="P162" s="2"/>
      <c r="Q162" s="2"/>
      <c r="R162" s="2"/>
    </row>
    <row r="163" spans="1:18" ht="15">
      <c r="A163" s="2"/>
      <c r="B163" s="78"/>
      <c r="C163" s="75"/>
      <c r="D163" s="75"/>
      <c r="E163" s="75"/>
      <c r="F163" s="75"/>
      <c r="G163" s="75"/>
      <c r="H163" s="75"/>
      <c r="I163" s="75"/>
      <c r="J163" s="75"/>
      <c r="K163" s="195"/>
      <c r="L163" s="195"/>
      <c r="M163" s="76"/>
      <c r="N163" s="2"/>
      <c r="O163" s="2"/>
      <c r="P163" s="2"/>
      <c r="Q163" s="2"/>
      <c r="R163" s="2"/>
    </row>
    <row r="164" spans="1:18" ht="15">
      <c r="A164" s="2"/>
      <c r="B164" s="78"/>
      <c r="C164" s="75"/>
      <c r="D164" s="75"/>
      <c r="E164" s="75"/>
      <c r="F164" s="75"/>
      <c r="G164" s="75"/>
      <c r="H164" s="75"/>
      <c r="I164" s="75"/>
      <c r="J164" s="75"/>
      <c r="K164" s="195"/>
      <c r="L164" s="195"/>
      <c r="M164" s="76"/>
      <c r="N164" s="2"/>
      <c r="O164" s="2"/>
      <c r="P164" s="2"/>
      <c r="Q164" s="2"/>
      <c r="R164" s="2"/>
    </row>
    <row r="165" spans="1:18" ht="15">
      <c r="A165" s="2"/>
      <c r="B165" s="78"/>
      <c r="C165" s="75"/>
      <c r="D165" s="75"/>
      <c r="E165" s="75"/>
      <c r="F165" s="75"/>
      <c r="G165" s="75"/>
      <c r="H165" s="75"/>
      <c r="I165" s="75"/>
      <c r="J165" s="75"/>
      <c r="K165" s="195"/>
      <c r="L165" s="195"/>
      <c r="M165" s="76"/>
      <c r="N165" s="2"/>
      <c r="O165" s="2"/>
      <c r="P165" s="2"/>
      <c r="Q165" s="2"/>
      <c r="R165" s="2"/>
    </row>
    <row r="166" spans="1:18" ht="15">
      <c r="A166" s="2"/>
      <c r="B166" s="78"/>
      <c r="C166" s="75"/>
      <c r="D166" s="75"/>
      <c r="E166" s="75"/>
      <c r="F166" s="75"/>
      <c r="G166" s="75"/>
      <c r="H166" s="75"/>
      <c r="I166" s="75"/>
      <c r="J166" s="75"/>
      <c r="K166" s="195"/>
      <c r="L166" s="195"/>
      <c r="M166" s="76"/>
      <c r="N166" s="2"/>
      <c r="O166" s="2"/>
      <c r="P166" s="2"/>
      <c r="Q166" s="2"/>
      <c r="R166" s="2"/>
    </row>
    <row r="167" spans="1:18" ht="15">
      <c r="A167" s="2"/>
      <c r="B167" s="2"/>
      <c r="C167" s="75"/>
      <c r="D167" s="75"/>
      <c r="E167" s="75"/>
      <c r="F167" s="75"/>
      <c r="G167" s="75"/>
      <c r="H167" s="75"/>
      <c r="I167" s="75"/>
      <c r="J167" s="75"/>
      <c r="K167" s="195"/>
      <c r="L167" s="195"/>
      <c r="M167" s="76"/>
      <c r="N167" s="2"/>
      <c r="O167" s="2"/>
      <c r="P167" s="2"/>
      <c r="Q167" s="2"/>
      <c r="R167" s="2"/>
    </row>
    <row r="168" spans="1:18" ht="15.75">
      <c r="A168" s="77"/>
      <c r="B168" s="2"/>
      <c r="C168" s="75"/>
      <c r="D168" s="75"/>
      <c r="E168" s="75"/>
      <c r="F168" s="75"/>
      <c r="G168" s="75"/>
      <c r="H168" s="75"/>
      <c r="I168" s="75"/>
      <c r="J168" s="75"/>
      <c r="K168" s="195"/>
      <c r="L168" s="195"/>
      <c r="M168" s="76"/>
      <c r="N168" s="2"/>
      <c r="O168" s="2"/>
      <c r="P168" s="2"/>
      <c r="Q168" s="2"/>
      <c r="R168" s="2"/>
    </row>
    <row r="169" spans="1:18" ht="15">
      <c r="A169" s="2"/>
      <c r="B169" s="2"/>
      <c r="C169" s="75"/>
      <c r="D169" s="75"/>
      <c r="E169" s="75"/>
      <c r="F169" s="75"/>
      <c r="G169" s="75"/>
      <c r="H169" s="75"/>
      <c r="I169" s="75"/>
      <c r="J169" s="75"/>
      <c r="K169" s="195"/>
      <c r="L169" s="195"/>
      <c r="M169" s="76"/>
      <c r="N169" s="2"/>
      <c r="O169" s="2"/>
      <c r="P169" s="2"/>
      <c r="Q169" s="2"/>
      <c r="R169" s="2"/>
    </row>
    <row r="170" spans="1:18" ht="15">
      <c r="A170" s="2"/>
      <c r="B170" s="2"/>
      <c r="C170" s="75"/>
      <c r="D170" s="75"/>
      <c r="E170" s="75"/>
      <c r="F170" s="75"/>
      <c r="G170" s="75"/>
      <c r="H170" s="75"/>
      <c r="I170" s="75"/>
      <c r="J170" s="75"/>
      <c r="K170" s="195"/>
      <c r="L170" s="195"/>
      <c r="M170" s="76"/>
      <c r="N170" s="2"/>
      <c r="O170" s="2"/>
      <c r="P170" s="2"/>
      <c r="Q170" s="2"/>
      <c r="R170" s="2"/>
    </row>
    <row r="171" spans="1:18" ht="15.75">
      <c r="A171" s="77"/>
      <c r="B171" s="78"/>
      <c r="C171" s="75"/>
      <c r="D171" s="75"/>
      <c r="E171" s="75"/>
      <c r="F171" s="75"/>
      <c r="G171" s="75"/>
      <c r="H171" s="75"/>
      <c r="I171" s="75"/>
      <c r="J171" s="75"/>
      <c r="K171" s="195"/>
      <c r="L171" s="195"/>
      <c r="M171" s="76"/>
      <c r="N171" s="2"/>
      <c r="O171" s="2"/>
      <c r="P171" s="2"/>
      <c r="Q171" s="2"/>
      <c r="R171" s="2"/>
    </row>
    <row r="172" spans="1:18" ht="15">
      <c r="A172" s="2"/>
      <c r="B172" s="78"/>
      <c r="C172" s="75"/>
      <c r="D172" s="75"/>
      <c r="E172" s="75"/>
      <c r="F172" s="75"/>
      <c r="G172" s="75"/>
      <c r="H172" s="75"/>
      <c r="I172" s="75"/>
      <c r="J172" s="75"/>
      <c r="K172" s="195"/>
      <c r="L172" s="195"/>
      <c r="M172" s="76"/>
      <c r="N172" s="2"/>
      <c r="O172" s="2"/>
      <c r="P172" s="2"/>
      <c r="Q172" s="2"/>
      <c r="R172" s="2"/>
    </row>
    <row r="173" spans="1:18" ht="15">
      <c r="A173" s="2"/>
      <c r="B173" s="78"/>
      <c r="C173" s="75"/>
      <c r="D173" s="75"/>
      <c r="E173" s="75"/>
      <c r="F173" s="75"/>
      <c r="G173" s="75"/>
      <c r="H173" s="75"/>
      <c r="I173" s="75"/>
      <c r="J173" s="75"/>
      <c r="K173" s="195"/>
      <c r="L173" s="195"/>
      <c r="M173" s="76"/>
      <c r="N173" s="2"/>
      <c r="O173" s="2"/>
      <c r="P173" s="2"/>
      <c r="Q173" s="2"/>
      <c r="R173" s="2"/>
    </row>
    <row r="174" spans="1:18" ht="15">
      <c r="A174" s="2"/>
      <c r="B174" s="2"/>
      <c r="C174" s="75"/>
      <c r="D174" s="75"/>
      <c r="E174" s="75"/>
      <c r="F174" s="75"/>
      <c r="G174" s="75"/>
      <c r="H174" s="75"/>
      <c r="I174" s="75"/>
      <c r="J174" s="75"/>
      <c r="K174" s="195"/>
      <c r="L174" s="195"/>
      <c r="M174" s="76"/>
      <c r="N174" s="2"/>
      <c r="O174" s="2"/>
      <c r="P174" s="2"/>
      <c r="Q174" s="2"/>
      <c r="R174" s="2"/>
    </row>
    <row r="175" spans="1:18" ht="15">
      <c r="A175" s="2"/>
      <c r="B175" s="2"/>
      <c r="C175" s="75"/>
      <c r="D175" s="75"/>
      <c r="E175" s="75"/>
      <c r="F175" s="75"/>
      <c r="G175" s="75"/>
      <c r="H175" s="75"/>
      <c r="I175" s="75"/>
      <c r="J175" s="75"/>
      <c r="K175" s="195"/>
      <c r="L175" s="195"/>
      <c r="M175" s="76"/>
      <c r="N175" s="2"/>
      <c r="O175" s="2"/>
      <c r="P175" s="2"/>
      <c r="Q175" s="2"/>
      <c r="R175" s="2"/>
    </row>
    <row r="176" spans="1:18" ht="15">
      <c r="A176" s="2"/>
      <c r="B176" s="2"/>
      <c r="C176" s="75"/>
      <c r="D176" s="75"/>
      <c r="E176" s="75"/>
      <c r="F176" s="75"/>
      <c r="G176" s="75"/>
      <c r="H176" s="75"/>
      <c r="I176" s="75"/>
      <c r="J176" s="75"/>
      <c r="K176" s="195"/>
      <c r="L176" s="195"/>
      <c r="M176" s="76"/>
      <c r="N176" s="2"/>
      <c r="O176" s="2"/>
      <c r="P176" s="2"/>
      <c r="Q176" s="2"/>
      <c r="R176" s="2"/>
    </row>
    <row r="177" spans="1:18" ht="15.75">
      <c r="A177" s="77"/>
      <c r="B177" s="2"/>
      <c r="C177" s="75"/>
      <c r="D177" s="75"/>
      <c r="E177" s="75"/>
      <c r="F177" s="75"/>
      <c r="G177" s="75"/>
      <c r="H177" s="75"/>
      <c r="I177" s="75"/>
      <c r="J177" s="75"/>
      <c r="K177" s="195"/>
      <c r="L177" s="195"/>
      <c r="M177" s="76"/>
      <c r="N177" s="2"/>
      <c r="O177" s="2"/>
      <c r="P177" s="2"/>
      <c r="Q177" s="2"/>
      <c r="R177" s="2"/>
    </row>
    <row r="178" spans="1:18" ht="15">
      <c r="A178" s="2"/>
      <c r="B178" s="2"/>
      <c r="C178" s="75"/>
      <c r="D178" s="75"/>
      <c r="E178" s="75"/>
      <c r="F178" s="75"/>
      <c r="G178" s="75"/>
      <c r="H178" s="75"/>
      <c r="I178" s="75"/>
      <c r="J178" s="75"/>
      <c r="K178" s="195"/>
      <c r="L178" s="195"/>
      <c r="M178" s="76"/>
      <c r="N178" s="2"/>
      <c r="O178" s="2"/>
      <c r="P178" s="2"/>
      <c r="Q178" s="2"/>
      <c r="R178" s="2"/>
    </row>
    <row r="179" spans="1:18" ht="15">
      <c r="A179" s="2"/>
      <c r="B179" s="2"/>
      <c r="C179" s="75"/>
      <c r="D179" s="75"/>
      <c r="E179" s="75"/>
      <c r="F179" s="75"/>
      <c r="G179" s="75"/>
      <c r="H179" s="75"/>
      <c r="I179" s="75"/>
      <c r="J179" s="75"/>
      <c r="K179" s="195"/>
      <c r="L179" s="195"/>
      <c r="M179" s="76"/>
      <c r="N179" s="2"/>
      <c r="O179" s="2"/>
      <c r="P179" s="2"/>
      <c r="Q179" s="2"/>
      <c r="R179" s="2"/>
    </row>
    <row r="180" spans="1:18" ht="15.75">
      <c r="A180" s="77"/>
      <c r="B180" s="77"/>
      <c r="C180" s="75"/>
      <c r="D180" s="75"/>
      <c r="E180" s="75"/>
      <c r="F180" s="75"/>
      <c r="G180" s="75"/>
      <c r="H180" s="75"/>
      <c r="I180" s="75"/>
      <c r="J180" s="75"/>
      <c r="K180" s="195"/>
      <c r="L180" s="195"/>
      <c r="M180" s="76"/>
      <c r="N180" s="2"/>
      <c r="O180" s="2"/>
      <c r="P180" s="2"/>
      <c r="Q180" s="2"/>
      <c r="R180" s="2"/>
    </row>
    <row r="181" spans="1:18" ht="15">
      <c r="A181" s="2"/>
      <c r="B181" s="2"/>
      <c r="C181" s="75"/>
      <c r="D181" s="75"/>
      <c r="E181" s="75"/>
      <c r="F181" s="75"/>
      <c r="G181" s="75"/>
      <c r="H181" s="75"/>
      <c r="I181" s="75"/>
      <c r="J181" s="75"/>
      <c r="K181" s="195"/>
      <c r="L181" s="195"/>
      <c r="M181" s="76"/>
      <c r="N181" s="2"/>
      <c r="O181" s="2"/>
      <c r="P181" s="2"/>
      <c r="Q181" s="2"/>
      <c r="R181" s="2"/>
    </row>
    <row r="182" spans="1:18" ht="15">
      <c r="A182" s="2"/>
      <c r="B182" s="2"/>
      <c r="C182" s="75"/>
      <c r="D182" s="75"/>
      <c r="E182" s="75"/>
      <c r="F182" s="75"/>
      <c r="G182" s="75"/>
      <c r="H182" s="75"/>
      <c r="I182" s="75"/>
      <c r="J182" s="75"/>
      <c r="K182" s="195"/>
      <c r="L182" s="195"/>
      <c r="M182" s="76"/>
      <c r="N182" s="2"/>
      <c r="O182" s="2"/>
      <c r="P182" s="2"/>
      <c r="Q182" s="2"/>
      <c r="R182" s="2"/>
    </row>
    <row r="183" spans="1:18" ht="15">
      <c r="A183" s="2"/>
      <c r="B183" s="2"/>
      <c r="C183" s="75"/>
      <c r="D183" s="75"/>
      <c r="E183" s="75"/>
      <c r="F183" s="75"/>
      <c r="G183" s="75"/>
      <c r="H183" s="75"/>
      <c r="I183" s="75"/>
      <c r="J183" s="75"/>
      <c r="K183" s="195"/>
      <c r="L183" s="195"/>
      <c r="M183" s="76"/>
      <c r="N183" s="2"/>
      <c r="O183" s="2"/>
      <c r="P183" s="2"/>
      <c r="Q183" s="2"/>
      <c r="R183" s="2"/>
    </row>
    <row r="184" spans="1:18" ht="15">
      <c r="A184" s="2"/>
      <c r="B184" s="2"/>
      <c r="C184" s="75"/>
      <c r="D184" s="75"/>
      <c r="E184" s="75"/>
      <c r="F184" s="75"/>
      <c r="G184" s="75"/>
      <c r="H184" s="75"/>
      <c r="I184" s="75"/>
      <c r="J184" s="75"/>
      <c r="K184" s="195"/>
      <c r="L184" s="195"/>
      <c r="M184" s="76"/>
      <c r="N184" s="2"/>
      <c r="O184" s="2"/>
      <c r="P184" s="2"/>
      <c r="Q184" s="2"/>
      <c r="R184" s="2"/>
    </row>
    <row r="185" spans="1:18" ht="15">
      <c r="A185" s="2"/>
      <c r="B185" s="2"/>
      <c r="C185" s="75"/>
      <c r="D185" s="75"/>
      <c r="E185" s="75"/>
      <c r="F185" s="75"/>
      <c r="G185" s="75"/>
      <c r="H185" s="75"/>
      <c r="I185" s="75"/>
      <c r="J185" s="75"/>
      <c r="K185" s="195"/>
      <c r="L185" s="195"/>
      <c r="M185" s="76"/>
      <c r="N185" s="2"/>
      <c r="O185" s="2"/>
      <c r="P185" s="2"/>
      <c r="Q185" s="2"/>
      <c r="R185" s="2"/>
    </row>
    <row r="186" spans="1:18" ht="15">
      <c r="A186" s="2"/>
      <c r="B186" s="2"/>
      <c r="C186" s="75"/>
      <c r="D186" s="75"/>
      <c r="E186" s="75"/>
      <c r="F186" s="75"/>
      <c r="G186" s="75"/>
      <c r="H186" s="75"/>
      <c r="I186" s="75"/>
      <c r="J186" s="75"/>
      <c r="K186" s="195"/>
      <c r="L186" s="195"/>
      <c r="M186" s="76"/>
      <c r="N186" s="2"/>
      <c r="O186" s="2"/>
      <c r="P186" s="2"/>
      <c r="Q186" s="2"/>
      <c r="R186" s="2"/>
    </row>
    <row r="187" spans="1:18" ht="15">
      <c r="A187" s="2"/>
      <c r="B187" s="2"/>
      <c r="C187" s="75"/>
      <c r="D187" s="75"/>
      <c r="E187" s="75"/>
      <c r="F187" s="75"/>
      <c r="G187" s="75"/>
      <c r="H187" s="75"/>
      <c r="I187" s="75"/>
      <c r="J187" s="75"/>
      <c r="K187" s="195"/>
      <c r="L187" s="195"/>
      <c r="M187" s="76"/>
      <c r="N187" s="2"/>
      <c r="O187" s="2"/>
      <c r="P187" s="2"/>
      <c r="Q187" s="2"/>
      <c r="R187" s="2"/>
    </row>
    <row r="188" spans="1:18" ht="15">
      <c r="A188" s="2"/>
      <c r="B188" s="2"/>
      <c r="C188" s="75"/>
      <c r="D188" s="75"/>
      <c r="E188" s="75"/>
      <c r="F188" s="75"/>
      <c r="G188" s="75"/>
      <c r="H188" s="75"/>
      <c r="I188" s="75"/>
      <c r="J188" s="75"/>
      <c r="K188" s="195"/>
      <c r="L188" s="195"/>
      <c r="M188" s="76"/>
      <c r="N188" s="2"/>
      <c r="O188" s="2"/>
      <c r="P188" s="2"/>
      <c r="Q188" s="2"/>
      <c r="R188" s="2"/>
    </row>
    <row r="189" spans="1:18" ht="15">
      <c r="A189" s="2"/>
      <c r="B189" s="2"/>
      <c r="C189" s="75"/>
      <c r="D189" s="75"/>
      <c r="E189" s="75"/>
      <c r="F189" s="75"/>
      <c r="G189" s="75"/>
      <c r="H189" s="75"/>
      <c r="I189" s="75"/>
      <c r="J189" s="75"/>
      <c r="K189" s="195"/>
      <c r="L189" s="195"/>
      <c r="M189" s="76"/>
      <c r="N189" s="2"/>
      <c r="O189" s="2"/>
      <c r="P189" s="2"/>
      <c r="Q189" s="2"/>
      <c r="R189" s="2"/>
    </row>
    <row r="190" spans="1:18" ht="15">
      <c r="A190" s="2"/>
      <c r="B190" s="2"/>
      <c r="C190" s="75"/>
      <c r="D190" s="75"/>
      <c r="E190" s="75"/>
      <c r="F190" s="75"/>
      <c r="G190" s="75"/>
      <c r="H190" s="75"/>
      <c r="I190" s="75"/>
      <c r="J190" s="75"/>
      <c r="K190" s="195"/>
      <c r="L190" s="195"/>
      <c r="M190" s="76"/>
      <c r="N190" s="2"/>
      <c r="O190" s="2"/>
      <c r="P190" s="2"/>
      <c r="Q190" s="2"/>
      <c r="R190" s="2"/>
    </row>
    <row r="191" spans="1:18" ht="15">
      <c r="A191" s="2"/>
      <c r="B191" s="2"/>
      <c r="C191" s="75"/>
      <c r="D191" s="75"/>
      <c r="E191" s="75"/>
      <c r="F191" s="75"/>
      <c r="G191" s="75"/>
      <c r="H191" s="75"/>
      <c r="I191" s="75"/>
      <c r="J191" s="75"/>
      <c r="K191" s="195"/>
      <c r="L191" s="195"/>
      <c r="M191" s="76"/>
      <c r="N191" s="2"/>
      <c r="O191" s="2"/>
      <c r="P191" s="2"/>
      <c r="Q191" s="2"/>
      <c r="R191" s="2"/>
    </row>
    <row r="192" spans="1:18" ht="15">
      <c r="A192" s="2"/>
      <c r="B192" s="2"/>
      <c r="C192" s="75"/>
      <c r="D192" s="75"/>
      <c r="E192" s="75"/>
      <c r="F192" s="75"/>
      <c r="G192" s="75"/>
      <c r="H192" s="75"/>
      <c r="I192" s="75"/>
      <c r="J192" s="75"/>
      <c r="K192" s="195"/>
      <c r="L192" s="195"/>
      <c r="M192" s="76"/>
      <c r="N192" s="2"/>
      <c r="O192" s="2"/>
      <c r="P192" s="2"/>
      <c r="Q192" s="2"/>
      <c r="R192" s="2"/>
    </row>
    <row r="193" spans="1:18" ht="15">
      <c r="A193" s="2"/>
      <c r="B193" s="2"/>
      <c r="C193" s="75"/>
      <c r="D193" s="75"/>
      <c r="E193" s="75"/>
      <c r="F193" s="75"/>
      <c r="G193" s="75"/>
      <c r="H193" s="75"/>
      <c r="I193" s="75"/>
      <c r="J193" s="75"/>
      <c r="K193" s="195"/>
      <c r="L193" s="195"/>
      <c r="M193" s="76"/>
      <c r="N193" s="2"/>
      <c r="O193" s="2"/>
      <c r="P193" s="2"/>
      <c r="Q193" s="2"/>
      <c r="R193" s="2"/>
    </row>
    <row r="194" spans="1:18" ht="15">
      <c r="A194" s="2"/>
      <c r="B194" s="2"/>
      <c r="C194" s="75"/>
      <c r="D194" s="75"/>
      <c r="E194" s="75"/>
      <c r="F194" s="75"/>
      <c r="G194" s="75"/>
      <c r="H194" s="75"/>
      <c r="I194" s="75"/>
      <c r="J194" s="75"/>
      <c r="K194" s="195"/>
      <c r="L194" s="195"/>
      <c r="M194" s="76"/>
      <c r="N194" s="2"/>
      <c r="O194" s="2"/>
      <c r="P194" s="2"/>
      <c r="Q194" s="2"/>
      <c r="R194" s="2"/>
    </row>
    <row r="195" spans="1:18" ht="15">
      <c r="A195" s="2"/>
      <c r="B195" s="2"/>
      <c r="C195" s="75"/>
      <c r="D195" s="75"/>
      <c r="E195" s="75"/>
      <c r="F195" s="75"/>
      <c r="G195" s="75"/>
      <c r="H195" s="75"/>
      <c r="I195" s="75"/>
      <c r="J195" s="75"/>
      <c r="K195" s="195"/>
      <c r="L195" s="195"/>
      <c r="M195" s="76"/>
      <c r="N195" s="2"/>
      <c r="O195" s="2"/>
      <c r="P195" s="2"/>
      <c r="Q195" s="2"/>
      <c r="R195" s="2"/>
    </row>
    <row r="196" spans="1:18" ht="15">
      <c r="A196" s="2"/>
      <c r="B196" s="2"/>
      <c r="C196" s="75"/>
      <c r="D196" s="75"/>
      <c r="E196" s="75"/>
      <c r="F196" s="75"/>
      <c r="G196" s="75"/>
      <c r="H196" s="75"/>
      <c r="I196" s="75"/>
      <c r="J196" s="75"/>
      <c r="K196" s="195"/>
      <c r="L196" s="195"/>
      <c r="M196" s="76"/>
      <c r="N196" s="2"/>
      <c r="O196" s="2"/>
      <c r="P196" s="2"/>
      <c r="Q196" s="2"/>
      <c r="R196" s="2"/>
    </row>
    <row r="197" spans="1:18" ht="15">
      <c r="A197" s="2"/>
      <c r="B197" s="2"/>
      <c r="C197" s="75"/>
      <c r="D197" s="75"/>
      <c r="E197" s="75"/>
      <c r="F197" s="75"/>
      <c r="G197" s="75"/>
      <c r="H197" s="75"/>
      <c r="I197" s="75"/>
      <c r="J197" s="75"/>
      <c r="K197" s="195"/>
      <c r="L197" s="195"/>
      <c r="M197" s="76"/>
      <c r="N197" s="2"/>
      <c r="O197" s="2"/>
      <c r="P197" s="2"/>
      <c r="Q197" s="2"/>
      <c r="R197" s="2"/>
    </row>
    <row r="198" spans="1:18" ht="15">
      <c r="A198" s="2"/>
      <c r="B198" s="2"/>
      <c r="C198" s="75"/>
      <c r="D198" s="75"/>
      <c r="E198" s="75"/>
      <c r="F198" s="75"/>
      <c r="G198" s="75"/>
      <c r="H198" s="75"/>
      <c r="I198" s="75"/>
      <c r="J198" s="75"/>
      <c r="K198" s="195"/>
      <c r="L198" s="195"/>
      <c r="M198" s="76"/>
      <c r="N198" s="2"/>
      <c r="O198" s="2"/>
      <c r="P198" s="2"/>
      <c r="Q198" s="2"/>
      <c r="R198" s="2"/>
    </row>
    <row r="199" spans="1:18" ht="15">
      <c r="A199" s="2"/>
      <c r="B199" s="2"/>
      <c r="C199" s="75"/>
      <c r="D199" s="75"/>
      <c r="E199" s="75"/>
      <c r="F199" s="75"/>
      <c r="G199" s="75"/>
      <c r="H199" s="75"/>
      <c r="I199" s="75"/>
      <c r="J199" s="75"/>
      <c r="K199" s="195"/>
      <c r="L199" s="195"/>
      <c r="M199" s="76"/>
      <c r="N199" s="2"/>
      <c r="O199" s="2"/>
      <c r="P199" s="2"/>
      <c r="Q199" s="2"/>
      <c r="R199" s="2"/>
    </row>
    <row r="200" spans="1:18" ht="15">
      <c r="A200" s="2"/>
      <c r="B200" s="2"/>
      <c r="C200" s="75"/>
      <c r="D200" s="75"/>
      <c r="E200" s="75"/>
      <c r="F200" s="75"/>
      <c r="G200" s="75"/>
      <c r="H200" s="75"/>
      <c r="I200" s="75"/>
      <c r="J200" s="75"/>
      <c r="K200" s="195"/>
      <c r="L200" s="195"/>
      <c r="M200" s="76"/>
      <c r="N200" s="2"/>
      <c r="O200" s="2"/>
      <c r="P200" s="2"/>
      <c r="Q200" s="2"/>
      <c r="R200" s="2"/>
    </row>
    <row r="201" spans="1:18" ht="15">
      <c r="A201" s="2"/>
      <c r="B201" s="2"/>
      <c r="C201" s="75"/>
      <c r="D201" s="75"/>
      <c r="E201" s="75"/>
      <c r="F201" s="75"/>
      <c r="G201" s="75"/>
      <c r="H201" s="75"/>
      <c r="I201" s="75"/>
      <c r="J201" s="75"/>
      <c r="K201" s="195"/>
      <c r="L201" s="195"/>
      <c r="M201" s="76"/>
      <c r="N201" s="2"/>
      <c r="O201" s="2"/>
      <c r="P201" s="2"/>
      <c r="Q201" s="2"/>
      <c r="R201" s="2"/>
    </row>
    <row r="202" spans="1:18" ht="15">
      <c r="A202" s="2"/>
      <c r="B202" s="2"/>
      <c r="C202" s="75"/>
      <c r="D202" s="75"/>
      <c r="E202" s="75"/>
      <c r="F202" s="75"/>
      <c r="G202" s="75"/>
      <c r="H202" s="75"/>
      <c r="I202" s="75"/>
      <c r="J202" s="75"/>
      <c r="K202" s="195"/>
      <c r="L202" s="195"/>
      <c r="M202" s="76"/>
      <c r="N202" s="2"/>
      <c r="O202" s="2"/>
      <c r="P202" s="2"/>
      <c r="Q202" s="2"/>
      <c r="R202" s="2"/>
    </row>
    <row r="203" spans="1:18" ht="15">
      <c r="A203" s="2"/>
      <c r="B203" s="2"/>
      <c r="C203" s="75"/>
      <c r="D203" s="75"/>
      <c r="E203" s="75"/>
      <c r="F203" s="75"/>
      <c r="G203" s="75"/>
      <c r="H203" s="75"/>
      <c r="I203" s="75"/>
      <c r="J203" s="75"/>
      <c r="K203" s="195"/>
      <c r="L203" s="195"/>
      <c r="M203" s="76"/>
      <c r="N203" s="2"/>
      <c r="O203" s="2"/>
      <c r="P203" s="2"/>
      <c r="Q203" s="2"/>
      <c r="R203" s="2"/>
    </row>
    <row r="204" spans="1:18" ht="15">
      <c r="A204" s="2"/>
      <c r="B204" s="2"/>
      <c r="C204" s="75"/>
      <c r="D204" s="75"/>
      <c r="E204" s="75"/>
      <c r="F204" s="75"/>
      <c r="G204" s="75"/>
      <c r="H204" s="75"/>
      <c r="I204" s="75"/>
      <c r="J204" s="75"/>
      <c r="K204" s="195"/>
      <c r="L204" s="195"/>
      <c r="M204" s="76"/>
      <c r="N204" s="2"/>
      <c r="O204" s="2"/>
      <c r="P204" s="2"/>
      <c r="Q204" s="2"/>
      <c r="R204" s="2"/>
    </row>
    <row r="205" spans="1:18" ht="15">
      <c r="A205" s="2"/>
      <c r="B205" s="2"/>
      <c r="C205" s="75"/>
      <c r="D205" s="75"/>
      <c r="E205" s="75"/>
      <c r="F205" s="75"/>
      <c r="G205" s="75"/>
      <c r="H205" s="75"/>
      <c r="I205" s="75"/>
      <c r="J205" s="75"/>
      <c r="K205" s="195"/>
      <c r="L205" s="195"/>
      <c r="M205" s="76"/>
      <c r="N205" s="2"/>
      <c r="O205" s="2"/>
      <c r="P205" s="2"/>
      <c r="Q205" s="2"/>
      <c r="R205" s="2"/>
    </row>
    <row r="206" spans="1:18" ht="15">
      <c r="A206" s="2"/>
      <c r="B206" s="2"/>
      <c r="C206" s="75"/>
      <c r="D206" s="75"/>
      <c r="E206" s="75"/>
      <c r="F206" s="75"/>
      <c r="G206" s="75"/>
      <c r="H206" s="75"/>
      <c r="I206" s="75"/>
      <c r="J206" s="75"/>
      <c r="K206" s="195"/>
      <c r="L206" s="195"/>
      <c r="M206" s="76"/>
      <c r="N206" s="2"/>
      <c r="O206" s="2"/>
      <c r="P206" s="2"/>
      <c r="Q206" s="2"/>
      <c r="R206" s="2"/>
    </row>
    <row r="207" spans="1:18" ht="15">
      <c r="A207" s="2"/>
      <c r="B207" s="2"/>
      <c r="C207" s="75"/>
      <c r="D207" s="75"/>
      <c r="E207" s="75"/>
      <c r="F207" s="75"/>
      <c r="G207" s="75"/>
      <c r="H207" s="75"/>
      <c r="I207" s="75"/>
      <c r="J207" s="75"/>
      <c r="K207" s="195"/>
      <c r="L207" s="195"/>
      <c r="M207" s="76"/>
      <c r="N207" s="2"/>
      <c r="O207" s="2"/>
      <c r="P207" s="2"/>
      <c r="Q207" s="2"/>
      <c r="R207" s="2"/>
    </row>
    <row r="208" spans="1:18" ht="15">
      <c r="A208" s="2"/>
      <c r="B208" s="2"/>
      <c r="C208" s="75"/>
      <c r="D208" s="75"/>
      <c r="E208" s="75"/>
      <c r="F208" s="75"/>
      <c r="G208" s="75"/>
      <c r="H208" s="75"/>
      <c r="I208" s="75"/>
      <c r="J208" s="75"/>
      <c r="K208" s="195"/>
      <c r="L208" s="195"/>
      <c r="M208" s="76"/>
      <c r="N208" s="2"/>
      <c r="O208" s="2"/>
      <c r="P208" s="2"/>
      <c r="Q208" s="2"/>
      <c r="R208" s="2"/>
    </row>
    <row r="209" spans="1:18" ht="15">
      <c r="A209" s="2"/>
      <c r="B209" s="2"/>
      <c r="C209" s="75"/>
      <c r="D209" s="75"/>
      <c r="E209" s="75"/>
      <c r="F209" s="75"/>
      <c r="G209" s="75"/>
      <c r="H209" s="75"/>
      <c r="I209" s="75"/>
      <c r="J209" s="75"/>
      <c r="K209" s="195"/>
      <c r="L209" s="195"/>
      <c r="M209" s="76"/>
      <c r="N209" s="2"/>
      <c r="O209" s="2"/>
      <c r="P209" s="2"/>
      <c r="Q209" s="2"/>
      <c r="R209" s="2"/>
    </row>
    <row r="210" spans="1:18" ht="15">
      <c r="A210" s="2"/>
      <c r="B210" s="2"/>
      <c r="C210" s="75"/>
      <c r="D210" s="75"/>
      <c r="E210" s="75"/>
      <c r="F210" s="75"/>
      <c r="G210" s="75"/>
      <c r="H210" s="75"/>
      <c r="I210" s="75"/>
      <c r="J210" s="75"/>
      <c r="K210" s="195"/>
      <c r="L210" s="195"/>
      <c r="M210" s="76"/>
      <c r="N210" s="2"/>
      <c r="O210" s="2"/>
      <c r="P210" s="2"/>
      <c r="Q210" s="2"/>
      <c r="R210" s="2"/>
    </row>
    <row r="211" spans="1:18" ht="15">
      <c r="A211" s="2"/>
      <c r="B211" s="2"/>
      <c r="C211" s="75"/>
      <c r="D211" s="75"/>
      <c r="E211" s="75"/>
      <c r="F211" s="75"/>
      <c r="G211" s="75"/>
      <c r="H211" s="75"/>
      <c r="I211" s="75"/>
      <c r="J211" s="75"/>
      <c r="K211" s="195"/>
      <c r="L211" s="195"/>
      <c r="M211" s="76"/>
      <c r="N211" s="2"/>
      <c r="O211" s="2"/>
      <c r="P211" s="2"/>
      <c r="Q211" s="2"/>
      <c r="R211" s="2"/>
    </row>
    <row r="212" spans="1:18" ht="15">
      <c r="A212" s="2"/>
      <c r="B212" s="2"/>
      <c r="C212" s="75"/>
      <c r="D212" s="75"/>
      <c r="E212" s="75"/>
      <c r="F212" s="75"/>
      <c r="G212" s="75"/>
      <c r="H212" s="75"/>
      <c r="I212" s="75"/>
      <c r="J212" s="75"/>
      <c r="K212" s="195"/>
      <c r="L212" s="195"/>
      <c r="M212" s="76"/>
      <c r="N212" s="2"/>
      <c r="O212" s="2"/>
      <c r="P212" s="2"/>
      <c r="Q212" s="2"/>
      <c r="R212" s="2"/>
    </row>
    <row r="213" spans="1:18" ht="15">
      <c r="A213" s="2"/>
      <c r="B213" s="2"/>
      <c r="C213" s="75"/>
      <c r="D213" s="75"/>
      <c r="E213" s="75"/>
      <c r="F213" s="75"/>
      <c r="G213" s="75"/>
      <c r="H213" s="75"/>
      <c r="I213" s="75"/>
      <c r="J213" s="75"/>
      <c r="K213" s="195"/>
      <c r="L213" s="195"/>
      <c r="M213" s="76"/>
      <c r="N213" s="2"/>
      <c r="O213" s="2"/>
      <c r="P213" s="2"/>
      <c r="Q213" s="2"/>
      <c r="R213" s="2"/>
    </row>
    <row r="214" spans="1:18" ht="15">
      <c r="A214" s="2"/>
      <c r="B214" s="2"/>
      <c r="C214" s="75"/>
      <c r="D214" s="75"/>
      <c r="E214" s="75"/>
      <c r="F214" s="75"/>
      <c r="G214" s="75"/>
      <c r="H214" s="75"/>
      <c r="I214" s="75"/>
      <c r="J214" s="75"/>
      <c r="K214" s="195"/>
      <c r="L214" s="195"/>
      <c r="M214" s="76"/>
      <c r="N214" s="2"/>
      <c r="O214" s="2"/>
      <c r="P214" s="2"/>
      <c r="Q214" s="2"/>
      <c r="R214" s="2"/>
    </row>
    <row r="215" spans="1:18" ht="15">
      <c r="A215" s="2"/>
      <c r="B215" s="2"/>
      <c r="C215" s="75"/>
      <c r="D215" s="75"/>
      <c r="E215" s="75"/>
      <c r="F215" s="75"/>
      <c r="G215" s="75"/>
      <c r="H215" s="75"/>
      <c r="I215" s="75"/>
      <c r="J215" s="75"/>
      <c r="K215" s="195"/>
      <c r="L215" s="195"/>
      <c r="M215" s="76"/>
      <c r="N215" s="2"/>
      <c r="O215" s="2"/>
      <c r="P215" s="2"/>
      <c r="Q215" s="2"/>
      <c r="R215" s="2"/>
    </row>
    <row r="216" spans="1:18" ht="15">
      <c r="A216" s="2"/>
      <c r="B216" s="2"/>
      <c r="C216" s="75"/>
      <c r="D216" s="75"/>
      <c r="E216" s="75"/>
      <c r="F216" s="75"/>
      <c r="G216" s="75"/>
      <c r="H216" s="75"/>
      <c r="I216" s="75"/>
      <c r="J216" s="75"/>
      <c r="K216" s="195"/>
      <c r="L216" s="195"/>
      <c r="M216" s="76"/>
      <c r="N216" s="2"/>
      <c r="O216" s="2"/>
      <c r="P216" s="2"/>
      <c r="Q216" s="2"/>
      <c r="R216" s="2"/>
    </row>
    <row r="217" spans="1:18" ht="15">
      <c r="A217" s="2"/>
      <c r="B217" s="2"/>
      <c r="C217" s="75"/>
      <c r="D217" s="75"/>
      <c r="E217" s="75"/>
      <c r="F217" s="75"/>
      <c r="G217" s="75"/>
      <c r="H217" s="75"/>
      <c r="I217" s="75"/>
      <c r="J217" s="75"/>
      <c r="K217" s="195"/>
      <c r="L217" s="195"/>
      <c r="M217" s="76"/>
      <c r="N217" s="2"/>
      <c r="O217" s="2"/>
      <c r="P217" s="2"/>
      <c r="Q217" s="2"/>
      <c r="R217" s="2"/>
    </row>
    <row r="218" spans="1:18" ht="15">
      <c r="A218" s="2"/>
      <c r="B218" s="2"/>
      <c r="C218" s="75"/>
      <c r="D218" s="75"/>
      <c r="E218" s="75"/>
      <c r="F218" s="75"/>
      <c r="G218" s="75"/>
      <c r="H218" s="75"/>
      <c r="I218" s="75"/>
      <c r="J218" s="75"/>
      <c r="K218" s="195"/>
      <c r="L218" s="195"/>
      <c r="M218" s="76"/>
      <c r="N218" s="2"/>
      <c r="O218" s="2"/>
      <c r="P218" s="2"/>
      <c r="Q218" s="2"/>
      <c r="R218" s="2"/>
    </row>
    <row r="219" spans="1:18" ht="15">
      <c r="A219" s="2"/>
      <c r="B219" s="2"/>
      <c r="C219" s="75"/>
      <c r="D219" s="75"/>
      <c r="E219" s="75"/>
      <c r="F219" s="75"/>
      <c r="G219" s="75"/>
      <c r="H219" s="75"/>
      <c r="I219" s="75"/>
      <c r="J219" s="75"/>
      <c r="K219" s="195"/>
      <c r="L219" s="195"/>
      <c r="M219" s="76"/>
      <c r="N219" s="2"/>
      <c r="O219" s="2"/>
      <c r="P219" s="2"/>
      <c r="Q219" s="2"/>
      <c r="R219" s="2"/>
    </row>
    <row r="220" spans="1:18" ht="15">
      <c r="A220" s="2"/>
      <c r="B220" s="2"/>
      <c r="C220" s="75"/>
      <c r="D220" s="75"/>
      <c r="E220" s="75"/>
      <c r="F220" s="75"/>
      <c r="G220" s="75"/>
      <c r="H220" s="75"/>
      <c r="I220" s="75"/>
      <c r="J220" s="75"/>
      <c r="K220" s="195"/>
      <c r="L220" s="195"/>
      <c r="M220" s="76"/>
      <c r="N220" s="2"/>
      <c r="O220" s="2"/>
      <c r="P220" s="2"/>
      <c r="Q220" s="2"/>
      <c r="R220" s="2"/>
    </row>
    <row r="221" spans="1:18" ht="15">
      <c r="A221" s="2"/>
      <c r="B221" s="2"/>
      <c r="C221" s="75"/>
      <c r="D221" s="75"/>
      <c r="E221" s="75"/>
      <c r="F221" s="75"/>
      <c r="G221" s="75"/>
      <c r="H221" s="75"/>
      <c r="I221" s="75"/>
      <c r="J221" s="75"/>
      <c r="K221" s="195"/>
      <c r="L221" s="195"/>
      <c r="M221" s="76"/>
      <c r="N221" s="2"/>
      <c r="O221" s="2"/>
      <c r="P221" s="2"/>
      <c r="Q221" s="2"/>
      <c r="R221" s="2"/>
    </row>
    <row r="222" spans="1:18" ht="15">
      <c r="A222" s="2"/>
      <c r="B222" s="2"/>
      <c r="C222" s="75"/>
      <c r="D222" s="75"/>
      <c r="E222" s="75"/>
      <c r="F222" s="75"/>
      <c r="G222" s="75"/>
      <c r="H222" s="75"/>
      <c r="I222" s="75"/>
      <c r="J222" s="75"/>
      <c r="K222" s="195"/>
      <c r="L222" s="195"/>
      <c r="M222" s="76"/>
      <c r="N222" s="2"/>
      <c r="O222" s="2"/>
      <c r="P222" s="2"/>
      <c r="Q222" s="2"/>
      <c r="R222" s="2"/>
    </row>
    <row r="223" spans="1:18" ht="15">
      <c r="A223" s="2"/>
      <c r="B223" s="2"/>
      <c r="C223" s="75"/>
      <c r="D223" s="75"/>
      <c r="E223" s="75"/>
      <c r="F223" s="75"/>
      <c r="G223" s="75"/>
      <c r="H223" s="75"/>
      <c r="I223" s="75"/>
      <c r="J223" s="75"/>
      <c r="K223" s="195"/>
      <c r="L223" s="195"/>
      <c r="M223" s="76"/>
      <c r="N223" s="2"/>
      <c r="O223" s="2"/>
      <c r="P223" s="2"/>
      <c r="Q223" s="2"/>
      <c r="R223" s="2"/>
    </row>
    <row r="224" spans="1:18" ht="15">
      <c r="A224" s="2"/>
      <c r="B224" s="2"/>
      <c r="C224" s="75"/>
      <c r="D224" s="75"/>
      <c r="E224" s="75"/>
      <c r="F224" s="75"/>
      <c r="G224" s="75"/>
      <c r="H224" s="75"/>
      <c r="I224" s="75"/>
      <c r="J224" s="75"/>
      <c r="K224" s="195"/>
      <c r="L224" s="195"/>
      <c r="M224" s="76"/>
      <c r="N224" s="2"/>
      <c r="O224" s="2"/>
      <c r="P224" s="2"/>
      <c r="Q224" s="2"/>
      <c r="R224" s="2"/>
    </row>
    <row r="225" spans="1:18" ht="15">
      <c r="A225" s="2"/>
      <c r="B225" s="2"/>
      <c r="C225" s="75"/>
      <c r="D225" s="75"/>
      <c r="E225" s="75"/>
      <c r="F225" s="75"/>
      <c r="G225" s="75"/>
      <c r="H225" s="75"/>
      <c r="I225" s="75"/>
      <c r="J225" s="75"/>
      <c r="K225" s="195"/>
      <c r="L225" s="195"/>
      <c r="M225" s="76"/>
      <c r="N225" s="2"/>
      <c r="O225" s="2"/>
      <c r="P225" s="2"/>
      <c r="Q225" s="2"/>
      <c r="R225" s="2"/>
    </row>
    <row r="226" spans="1:18" ht="15">
      <c r="A226" s="2"/>
      <c r="B226" s="2"/>
      <c r="C226" s="75"/>
      <c r="D226" s="75"/>
      <c r="E226" s="75"/>
      <c r="F226" s="75"/>
      <c r="G226" s="75"/>
      <c r="H226" s="75"/>
      <c r="I226" s="75"/>
      <c r="J226" s="75"/>
      <c r="K226" s="195"/>
      <c r="L226" s="195"/>
      <c r="M226" s="76"/>
      <c r="N226" s="2"/>
      <c r="O226" s="2"/>
      <c r="P226" s="2"/>
      <c r="Q226" s="2"/>
      <c r="R226" s="2"/>
    </row>
    <row r="227" spans="1:18" ht="15">
      <c r="A227" s="2"/>
      <c r="B227" s="2"/>
      <c r="C227" s="75"/>
      <c r="D227" s="75"/>
      <c r="E227" s="75"/>
      <c r="F227" s="75"/>
      <c r="G227" s="75"/>
      <c r="H227" s="75"/>
      <c r="I227" s="75"/>
      <c r="J227" s="75"/>
      <c r="K227" s="195"/>
      <c r="L227" s="195"/>
      <c r="M227" s="76"/>
      <c r="N227" s="2"/>
      <c r="O227" s="2"/>
      <c r="P227" s="2"/>
      <c r="Q227" s="2"/>
      <c r="R227" s="2"/>
    </row>
    <row r="228" spans="1:18" ht="15">
      <c r="A228" s="2"/>
      <c r="B228" s="2"/>
      <c r="C228" s="75"/>
      <c r="D228" s="75"/>
      <c r="E228" s="75"/>
      <c r="F228" s="75"/>
      <c r="G228" s="75"/>
      <c r="H228" s="75"/>
      <c r="I228" s="75"/>
      <c r="J228" s="75"/>
      <c r="K228" s="195"/>
      <c r="L228" s="195"/>
      <c r="M228" s="76"/>
      <c r="N228" s="2"/>
      <c r="O228" s="2"/>
      <c r="P228" s="2"/>
      <c r="Q228" s="2"/>
      <c r="R228" s="2"/>
    </row>
    <row r="229" spans="1:18" ht="15">
      <c r="A229" s="2"/>
      <c r="B229" s="2"/>
      <c r="C229" s="75"/>
      <c r="D229" s="75"/>
      <c r="E229" s="75"/>
      <c r="F229" s="75"/>
      <c r="G229" s="75"/>
      <c r="H229" s="75"/>
      <c r="I229" s="75"/>
      <c r="J229" s="75"/>
      <c r="K229" s="195"/>
      <c r="L229" s="195"/>
      <c r="M229" s="76"/>
      <c r="N229" s="2"/>
      <c r="O229" s="2"/>
      <c r="P229" s="2"/>
      <c r="Q229" s="2"/>
      <c r="R229" s="2"/>
    </row>
    <row r="230" spans="1:18" ht="15">
      <c r="A230" s="2"/>
      <c r="B230" s="2"/>
      <c r="C230" s="75"/>
      <c r="D230" s="75"/>
      <c r="E230" s="75"/>
      <c r="F230" s="75"/>
      <c r="G230" s="75"/>
      <c r="H230" s="75"/>
      <c r="I230" s="75"/>
      <c r="J230" s="75"/>
      <c r="K230" s="195"/>
      <c r="L230" s="195"/>
      <c r="M230" s="76"/>
      <c r="N230" s="2"/>
      <c r="O230" s="2"/>
      <c r="P230" s="2"/>
      <c r="Q230" s="2"/>
      <c r="R230" s="2"/>
    </row>
    <row r="231" spans="1:18" ht="15">
      <c r="A231" s="2"/>
      <c r="B231" s="2"/>
      <c r="C231" s="75"/>
      <c r="D231" s="75"/>
      <c r="E231" s="75"/>
      <c r="F231" s="75"/>
      <c r="G231" s="75"/>
      <c r="H231" s="75"/>
      <c r="I231" s="75"/>
      <c r="J231" s="75"/>
      <c r="K231" s="195"/>
      <c r="L231" s="195"/>
      <c r="M231" s="76"/>
      <c r="N231" s="2"/>
      <c r="O231" s="2"/>
      <c r="P231" s="2"/>
      <c r="Q231" s="2"/>
      <c r="R231" s="2"/>
    </row>
    <row r="232" spans="1:18" ht="15">
      <c r="A232" s="2"/>
      <c r="B232" s="2"/>
      <c r="C232" s="75"/>
      <c r="D232" s="75"/>
      <c r="E232" s="75"/>
      <c r="F232" s="75"/>
      <c r="G232" s="75"/>
      <c r="H232" s="75"/>
      <c r="I232" s="75"/>
      <c r="J232" s="75"/>
      <c r="K232" s="195"/>
      <c r="L232" s="195"/>
      <c r="M232" s="76"/>
      <c r="N232" s="2"/>
      <c r="O232" s="2"/>
      <c r="P232" s="2"/>
      <c r="Q232" s="2"/>
      <c r="R232" s="2"/>
    </row>
    <row r="233" spans="1:18" ht="15">
      <c r="A233" s="2"/>
      <c r="B233" s="2"/>
      <c r="C233" s="75"/>
      <c r="D233" s="75"/>
      <c r="E233" s="75"/>
      <c r="F233" s="75"/>
      <c r="G233" s="75"/>
      <c r="H233" s="75"/>
      <c r="I233" s="75"/>
      <c r="J233" s="75"/>
      <c r="K233" s="195"/>
      <c r="L233" s="195"/>
      <c r="M233" s="76"/>
      <c r="N233" s="2"/>
      <c r="O233" s="2"/>
      <c r="P233" s="2"/>
      <c r="Q233" s="2"/>
      <c r="R233" s="2"/>
    </row>
    <row r="234" spans="1:18" ht="15">
      <c r="A234" s="2"/>
      <c r="B234" s="2"/>
      <c r="C234" s="75"/>
      <c r="D234" s="75"/>
      <c r="E234" s="75"/>
      <c r="F234" s="75"/>
      <c r="G234" s="75"/>
      <c r="H234" s="75"/>
      <c r="I234" s="75"/>
      <c r="J234" s="75"/>
      <c r="K234" s="195"/>
      <c r="L234" s="195"/>
      <c r="M234" s="76"/>
      <c r="N234" s="2"/>
      <c r="O234" s="2"/>
      <c r="P234" s="2"/>
      <c r="Q234" s="2"/>
      <c r="R234" s="2"/>
    </row>
    <row r="235" spans="1:18" ht="15">
      <c r="A235" s="2"/>
      <c r="B235" s="2"/>
      <c r="C235" s="75"/>
      <c r="D235" s="75"/>
      <c r="E235" s="75"/>
      <c r="F235" s="75"/>
      <c r="G235" s="75"/>
      <c r="H235" s="75"/>
      <c r="I235" s="75"/>
      <c r="J235" s="75"/>
      <c r="K235" s="195"/>
      <c r="L235" s="195"/>
      <c r="M235" s="76"/>
      <c r="N235" s="2"/>
      <c r="O235" s="2"/>
      <c r="P235" s="2"/>
      <c r="Q235" s="2"/>
      <c r="R235" s="2"/>
    </row>
    <row r="236" spans="1:18" ht="15">
      <c r="A236" s="2"/>
      <c r="B236" s="2"/>
      <c r="C236" s="75"/>
      <c r="D236" s="75"/>
      <c r="E236" s="75"/>
      <c r="F236" s="75"/>
      <c r="G236" s="75"/>
      <c r="H236" s="75"/>
      <c r="I236" s="75"/>
      <c r="J236" s="75"/>
      <c r="K236" s="195"/>
      <c r="L236" s="195"/>
      <c r="M236" s="76"/>
      <c r="N236" s="2"/>
      <c r="O236" s="2"/>
      <c r="P236" s="2"/>
      <c r="Q236" s="2"/>
      <c r="R236" s="2"/>
    </row>
    <row r="237" spans="1:18" ht="15">
      <c r="A237" s="2"/>
      <c r="B237" s="2"/>
      <c r="C237" s="75"/>
      <c r="D237" s="75"/>
      <c r="E237" s="75"/>
      <c r="F237" s="75"/>
      <c r="G237" s="75"/>
      <c r="H237" s="75"/>
      <c r="I237" s="75"/>
      <c r="J237" s="75"/>
      <c r="K237" s="195"/>
      <c r="L237" s="195"/>
      <c r="M237" s="76"/>
      <c r="N237" s="2"/>
      <c r="O237" s="2"/>
      <c r="P237" s="2"/>
      <c r="Q237" s="2"/>
      <c r="R237" s="2"/>
    </row>
    <row r="238" spans="1:18" ht="15">
      <c r="A238" s="2"/>
      <c r="B238" s="2"/>
      <c r="C238" s="75"/>
      <c r="D238" s="75"/>
      <c r="E238" s="75"/>
      <c r="F238" s="75"/>
      <c r="G238" s="75"/>
      <c r="H238" s="75"/>
      <c r="I238" s="75"/>
      <c r="J238" s="75"/>
      <c r="K238" s="195"/>
      <c r="L238" s="195"/>
      <c r="M238" s="76"/>
      <c r="N238" s="2"/>
      <c r="O238" s="2"/>
      <c r="P238" s="2"/>
      <c r="Q238" s="2"/>
      <c r="R238" s="2"/>
    </row>
    <row r="239" spans="1:18" ht="15">
      <c r="A239" s="2"/>
      <c r="B239" s="2"/>
      <c r="C239" s="75"/>
      <c r="D239" s="75"/>
      <c r="E239" s="75"/>
      <c r="F239" s="75"/>
      <c r="G239" s="75"/>
      <c r="H239" s="75"/>
      <c r="I239" s="75"/>
      <c r="J239" s="75"/>
      <c r="K239" s="195"/>
      <c r="L239" s="195"/>
      <c r="M239" s="76"/>
      <c r="N239" s="2"/>
      <c r="O239" s="2"/>
      <c r="P239" s="2"/>
      <c r="Q239" s="2"/>
      <c r="R239" s="2"/>
    </row>
    <row r="240" spans="1:18" ht="15">
      <c r="A240" s="2"/>
      <c r="B240" s="2"/>
      <c r="C240" s="75"/>
      <c r="D240" s="75"/>
      <c r="E240" s="75"/>
      <c r="F240" s="75"/>
      <c r="G240" s="75"/>
      <c r="H240" s="75"/>
      <c r="I240" s="75"/>
      <c r="J240" s="75"/>
      <c r="K240" s="195"/>
      <c r="L240" s="195"/>
      <c r="M240" s="76"/>
      <c r="N240" s="2"/>
      <c r="O240" s="2"/>
      <c r="P240" s="2"/>
      <c r="Q240" s="2"/>
      <c r="R240" s="2"/>
    </row>
    <row r="241" spans="1:18" ht="15">
      <c r="A241" s="2"/>
      <c r="B241" s="2"/>
      <c r="C241" s="75"/>
      <c r="D241" s="75"/>
      <c r="E241" s="75"/>
      <c r="F241" s="75"/>
      <c r="G241" s="75"/>
      <c r="H241" s="75"/>
      <c r="I241" s="75"/>
      <c r="J241" s="75"/>
      <c r="K241" s="195"/>
      <c r="L241" s="195"/>
      <c r="M241" s="76"/>
      <c r="N241" s="2"/>
      <c r="O241" s="2"/>
      <c r="P241" s="2"/>
      <c r="Q241" s="2"/>
      <c r="R241" s="2"/>
    </row>
    <row r="242" spans="1:18" ht="15">
      <c r="A242" s="2"/>
      <c r="B242" s="2"/>
      <c r="C242" s="75"/>
      <c r="D242" s="75"/>
      <c r="E242" s="75"/>
      <c r="F242" s="75"/>
      <c r="G242" s="75"/>
      <c r="H242" s="75"/>
      <c r="I242" s="75"/>
      <c r="J242" s="75"/>
      <c r="K242" s="195"/>
      <c r="L242" s="195"/>
      <c r="M242" s="76"/>
      <c r="N242" s="2"/>
      <c r="O242" s="2"/>
      <c r="P242" s="2"/>
      <c r="Q242" s="2"/>
      <c r="R242" s="2"/>
    </row>
    <row r="243" spans="1:18" ht="15">
      <c r="A243" s="2"/>
      <c r="B243" s="2"/>
      <c r="C243" s="75"/>
      <c r="D243" s="75"/>
      <c r="E243" s="75"/>
      <c r="F243" s="75"/>
      <c r="G243" s="75"/>
      <c r="H243" s="75"/>
      <c r="I243" s="75"/>
      <c r="J243" s="75"/>
      <c r="K243" s="195"/>
      <c r="L243" s="195"/>
      <c r="M243" s="76"/>
      <c r="N243" s="2"/>
      <c r="O243" s="2"/>
      <c r="P243" s="2"/>
      <c r="Q243" s="2"/>
      <c r="R243" s="2"/>
    </row>
    <row r="244" spans="1:18" ht="15">
      <c r="A244" s="2"/>
      <c r="B244" s="2"/>
      <c r="C244" s="75"/>
      <c r="D244" s="75"/>
      <c r="E244" s="75"/>
      <c r="F244" s="75"/>
      <c r="G244" s="75"/>
      <c r="H244" s="75"/>
      <c r="I244" s="75"/>
      <c r="J244" s="75"/>
      <c r="K244" s="195"/>
      <c r="L244" s="195"/>
      <c r="M244" s="76"/>
      <c r="N244" s="2"/>
      <c r="O244" s="2"/>
      <c r="P244" s="2"/>
      <c r="Q244" s="2"/>
      <c r="R244" s="2"/>
    </row>
    <row r="245" spans="1:18" ht="15">
      <c r="A245" s="2"/>
      <c r="B245" s="2"/>
      <c r="C245" s="75"/>
      <c r="D245" s="75"/>
      <c r="E245" s="75"/>
      <c r="F245" s="75"/>
      <c r="G245" s="75"/>
      <c r="H245" s="75"/>
      <c r="I245" s="75"/>
      <c r="J245" s="75"/>
      <c r="K245" s="195"/>
      <c r="L245" s="195"/>
      <c r="M245" s="76"/>
      <c r="N245" s="2"/>
      <c r="O245" s="2"/>
      <c r="P245" s="2"/>
      <c r="Q245" s="2"/>
      <c r="R245" s="2"/>
    </row>
    <row r="246" spans="1:18" ht="15">
      <c r="A246" s="2"/>
      <c r="B246" s="2"/>
      <c r="C246" s="75"/>
      <c r="D246" s="75"/>
      <c r="E246" s="75"/>
      <c r="F246" s="75"/>
      <c r="G246" s="75"/>
      <c r="H246" s="75"/>
      <c r="I246" s="75"/>
      <c r="J246" s="75"/>
      <c r="K246" s="195"/>
      <c r="L246" s="195"/>
      <c r="M246" s="76"/>
      <c r="N246" s="2"/>
      <c r="O246" s="2"/>
      <c r="P246" s="2"/>
      <c r="Q246" s="2"/>
      <c r="R246" s="2"/>
    </row>
    <row r="247" spans="1:18" ht="15">
      <c r="A247" s="2"/>
      <c r="B247" s="2"/>
      <c r="C247" s="75"/>
      <c r="D247" s="75"/>
      <c r="E247" s="75"/>
      <c r="F247" s="75"/>
      <c r="G247" s="75"/>
      <c r="H247" s="75"/>
      <c r="I247" s="75"/>
      <c r="J247" s="75"/>
      <c r="K247" s="195"/>
      <c r="L247" s="195"/>
      <c r="M247" s="76"/>
      <c r="N247" s="2"/>
      <c r="O247" s="2"/>
      <c r="P247" s="2"/>
      <c r="Q247" s="2"/>
      <c r="R247" s="2"/>
    </row>
    <row r="248" spans="1:18" ht="15">
      <c r="A248" s="2"/>
      <c r="B248" s="2"/>
      <c r="C248" s="75"/>
      <c r="D248" s="75"/>
      <c r="E248" s="75"/>
      <c r="F248" s="75"/>
      <c r="G248" s="75"/>
      <c r="H248" s="75"/>
      <c r="I248" s="75"/>
      <c r="J248" s="75"/>
      <c r="K248" s="195"/>
      <c r="L248" s="195"/>
      <c r="M248" s="76"/>
      <c r="N248" s="2"/>
      <c r="O248" s="2"/>
      <c r="P248" s="2"/>
      <c r="Q248" s="2"/>
      <c r="R248" s="2"/>
    </row>
    <row r="249" spans="1:18" ht="15">
      <c r="A249" s="2"/>
      <c r="B249" s="2"/>
      <c r="C249" s="75"/>
      <c r="D249" s="75"/>
      <c r="E249" s="75"/>
      <c r="F249" s="75"/>
      <c r="G249" s="75"/>
      <c r="H249" s="75"/>
      <c r="I249" s="75"/>
      <c r="J249" s="75"/>
      <c r="K249" s="195"/>
      <c r="L249" s="195"/>
      <c r="M249" s="76"/>
      <c r="N249" s="2"/>
      <c r="O249" s="2"/>
      <c r="P249" s="2"/>
      <c r="Q249" s="2"/>
      <c r="R249" s="2"/>
    </row>
    <row r="250" spans="1:18" ht="15">
      <c r="A250" s="2"/>
      <c r="B250" s="2"/>
      <c r="C250" s="75"/>
      <c r="D250" s="75"/>
      <c r="E250" s="75"/>
      <c r="F250" s="75"/>
      <c r="G250" s="75"/>
      <c r="H250" s="75"/>
      <c r="I250" s="75"/>
      <c r="J250" s="75"/>
      <c r="K250" s="195"/>
      <c r="L250" s="195"/>
      <c r="M250" s="76"/>
      <c r="N250" s="2"/>
      <c r="O250" s="2"/>
      <c r="P250" s="2"/>
      <c r="Q250" s="2"/>
      <c r="R250" s="2"/>
    </row>
    <row r="251" spans="1:18" ht="15">
      <c r="A251" s="2"/>
      <c r="B251" s="2"/>
      <c r="C251" s="75"/>
      <c r="D251" s="75"/>
      <c r="E251" s="75"/>
      <c r="F251" s="75"/>
      <c r="G251" s="75"/>
      <c r="H251" s="75"/>
      <c r="I251" s="75"/>
      <c r="J251" s="75"/>
      <c r="K251" s="195"/>
      <c r="L251" s="195"/>
      <c r="M251" s="76"/>
      <c r="N251" s="2"/>
      <c r="O251" s="2"/>
      <c r="P251" s="2"/>
      <c r="Q251" s="2"/>
      <c r="R251" s="2"/>
    </row>
    <row r="252" spans="1:18" ht="15">
      <c r="A252" s="2"/>
      <c r="B252" s="2"/>
      <c r="C252" s="75"/>
      <c r="D252" s="75"/>
      <c r="E252" s="75"/>
      <c r="F252" s="75"/>
      <c r="G252" s="75"/>
      <c r="H252" s="75"/>
      <c r="I252" s="75"/>
      <c r="J252" s="75"/>
      <c r="K252" s="195"/>
      <c r="L252" s="195"/>
      <c r="M252" s="76"/>
      <c r="N252" s="2"/>
      <c r="O252" s="2"/>
      <c r="P252" s="2"/>
      <c r="Q252" s="2"/>
      <c r="R252" s="2"/>
    </row>
    <row r="253" spans="1:18" ht="15">
      <c r="A253" s="2"/>
      <c r="B253" s="2"/>
      <c r="C253" s="75"/>
      <c r="D253" s="75"/>
      <c r="E253" s="75"/>
      <c r="F253" s="75"/>
      <c r="G253" s="75"/>
      <c r="H253" s="75"/>
      <c r="I253" s="75"/>
      <c r="J253" s="75"/>
      <c r="K253" s="195"/>
      <c r="L253" s="195"/>
      <c r="M253" s="76"/>
      <c r="N253" s="2"/>
      <c r="O253" s="2"/>
      <c r="P253" s="2"/>
      <c r="Q253" s="2"/>
      <c r="R253" s="2"/>
    </row>
    <row r="254" spans="1:18" ht="15">
      <c r="A254" s="2"/>
      <c r="B254" s="2"/>
      <c r="C254" s="75"/>
      <c r="D254" s="75"/>
      <c r="E254" s="75"/>
      <c r="F254" s="75"/>
      <c r="G254" s="75"/>
      <c r="H254" s="75"/>
      <c r="I254" s="75"/>
      <c r="J254" s="75"/>
      <c r="K254" s="195"/>
      <c r="L254" s="195"/>
      <c r="M254" s="76"/>
      <c r="N254" s="2"/>
      <c r="O254" s="2"/>
      <c r="P254" s="2"/>
      <c r="Q254" s="2"/>
      <c r="R254" s="2"/>
    </row>
    <row r="255" spans="1:18" ht="15">
      <c r="A255" s="2"/>
      <c r="B255" s="2"/>
      <c r="C255" s="75"/>
      <c r="D255" s="75"/>
      <c r="E255" s="75"/>
      <c r="F255" s="75"/>
      <c r="G255" s="75"/>
      <c r="H255" s="75"/>
      <c r="I255" s="75"/>
      <c r="J255" s="75"/>
      <c r="K255" s="195"/>
      <c r="L255" s="195"/>
      <c r="M255" s="76"/>
      <c r="N255" s="2"/>
      <c r="O255" s="2"/>
      <c r="P255" s="2"/>
      <c r="Q255" s="2"/>
      <c r="R255" s="2"/>
    </row>
    <row r="256" spans="1:18" ht="15">
      <c r="A256" s="2"/>
      <c r="B256" s="2"/>
      <c r="C256" s="75"/>
      <c r="D256" s="75"/>
      <c r="E256" s="75"/>
      <c r="F256" s="75"/>
      <c r="G256" s="75"/>
      <c r="H256" s="75"/>
      <c r="I256" s="75"/>
      <c r="J256" s="75"/>
      <c r="K256" s="195"/>
      <c r="L256" s="195"/>
      <c r="M256" s="76"/>
      <c r="N256" s="2"/>
      <c r="O256" s="2"/>
      <c r="P256" s="2"/>
      <c r="Q256" s="2"/>
      <c r="R256" s="2"/>
    </row>
    <row r="257" spans="1:18" ht="15">
      <c r="A257" s="2"/>
      <c r="B257" s="2"/>
      <c r="C257" s="75"/>
      <c r="D257" s="75"/>
      <c r="E257" s="75"/>
      <c r="F257" s="75"/>
      <c r="G257" s="75"/>
      <c r="H257" s="75"/>
      <c r="I257" s="75"/>
      <c r="J257" s="75"/>
      <c r="K257" s="195"/>
      <c r="L257" s="195"/>
      <c r="M257" s="76"/>
      <c r="N257" s="2"/>
      <c r="O257" s="2"/>
      <c r="P257" s="2"/>
      <c r="Q257" s="2"/>
      <c r="R257" s="2"/>
    </row>
    <row r="258" spans="1:18" ht="15">
      <c r="A258" s="2"/>
      <c r="B258" s="2"/>
      <c r="C258" s="75"/>
      <c r="D258" s="75"/>
      <c r="E258" s="75"/>
      <c r="F258" s="75"/>
      <c r="G258" s="75"/>
      <c r="H258" s="75"/>
      <c r="I258" s="75"/>
      <c r="J258" s="75"/>
      <c r="K258" s="195"/>
      <c r="L258" s="195"/>
      <c r="M258" s="76"/>
      <c r="N258" s="2"/>
      <c r="O258" s="2"/>
      <c r="P258" s="2"/>
      <c r="Q258" s="2"/>
      <c r="R258" s="2"/>
    </row>
    <row r="259" spans="1:18" ht="15">
      <c r="A259" s="2"/>
      <c r="B259" s="2"/>
      <c r="C259" s="75"/>
      <c r="D259" s="75"/>
      <c r="E259" s="75"/>
      <c r="F259" s="75"/>
      <c r="G259" s="75"/>
      <c r="H259" s="75"/>
      <c r="I259" s="75"/>
      <c r="J259" s="75"/>
      <c r="K259" s="195"/>
      <c r="L259" s="195"/>
      <c r="M259" s="76"/>
      <c r="N259" s="2"/>
      <c r="O259" s="2"/>
      <c r="P259" s="2"/>
      <c r="Q259" s="2"/>
      <c r="R259" s="2"/>
    </row>
    <row r="260" spans="1:18" ht="15">
      <c r="A260" s="2"/>
      <c r="B260" s="2"/>
      <c r="C260" s="75"/>
      <c r="D260" s="75"/>
      <c r="E260" s="75"/>
      <c r="F260" s="75"/>
      <c r="G260" s="75"/>
      <c r="H260" s="75"/>
      <c r="I260" s="75"/>
      <c r="J260" s="75"/>
      <c r="K260" s="195"/>
      <c r="L260" s="195"/>
      <c r="M260" s="76"/>
      <c r="N260" s="2"/>
      <c r="O260" s="2"/>
      <c r="P260" s="2"/>
      <c r="Q260" s="2"/>
      <c r="R260" s="2"/>
    </row>
    <row r="261" spans="1:18" ht="15">
      <c r="A261" s="2"/>
      <c r="B261" s="2"/>
      <c r="C261" s="75"/>
      <c r="D261" s="75"/>
      <c r="E261" s="75"/>
      <c r="F261" s="75"/>
      <c r="G261" s="75"/>
      <c r="H261" s="75"/>
      <c r="I261" s="75"/>
      <c r="J261" s="75"/>
      <c r="K261" s="195"/>
      <c r="L261" s="195"/>
      <c r="M261" s="76"/>
      <c r="N261" s="2"/>
      <c r="O261" s="2"/>
      <c r="P261" s="2"/>
      <c r="Q261" s="2"/>
      <c r="R261" s="2"/>
    </row>
    <row r="262" spans="1:18" ht="15">
      <c r="A262" s="2"/>
      <c r="B262" s="2"/>
      <c r="C262" s="75"/>
      <c r="D262" s="75"/>
      <c r="E262" s="75"/>
      <c r="F262" s="75"/>
      <c r="G262" s="75"/>
      <c r="H262" s="75"/>
      <c r="I262" s="75"/>
      <c r="J262" s="75"/>
      <c r="K262" s="195"/>
      <c r="L262" s="195"/>
      <c r="M262" s="76"/>
      <c r="N262" s="2"/>
      <c r="O262" s="2"/>
      <c r="P262" s="2"/>
      <c r="Q262" s="2"/>
      <c r="R262" s="2"/>
    </row>
    <row r="263" spans="1:18" ht="15">
      <c r="A263" s="2"/>
      <c r="B263" s="2"/>
      <c r="C263" s="75"/>
      <c r="D263" s="75"/>
      <c r="E263" s="75"/>
      <c r="F263" s="75"/>
      <c r="G263" s="75"/>
      <c r="H263" s="75"/>
      <c r="I263" s="75"/>
      <c r="J263" s="75"/>
      <c r="K263" s="195"/>
      <c r="L263" s="195"/>
      <c r="M263" s="76"/>
      <c r="N263" s="2"/>
      <c r="O263" s="2"/>
      <c r="P263" s="2"/>
      <c r="Q263" s="2"/>
      <c r="R263" s="2"/>
    </row>
    <row r="264" spans="1:18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5"/>
      <c r="L264" s="195"/>
      <c r="M264" s="76"/>
      <c r="N264" s="2"/>
      <c r="O264" s="2"/>
      <c r="P264" s="2"/>
      <c r="Q264" s="2"/>
      <c r="R264" s="2"/>
    </row>
    <row r="265" spans="1:18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5"/>
      <c r="L265" s="195"/>
      <c r="M265" s="76"/>
      <c r="N265" s="2"/>
      <c r="O265" s="2"/>
      <c r="P265" s="2"/>
      <c r="Q265" s="2"/>
      <c r="R265" s="2"/>
    </row>
    <row r="266" spans="1:18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5"/>
      <c r="L266" s="195"/>
      <c r="M266" s="76"/>
      <c r="N266" s="2"/>
      <c r="O266" s="2"/>
      <c r="P266" s="2"/>
      <c r="Q266" s="2"/>
      <c r="R266" s="2"/>
    </row>
    <row r="267" spans="1:18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5"/>
      <c r="L267" s="195"/>
      <c r="M267" s="76"/>
      <c r="N267" s="2"/>
      <c r="O267" s="2"/>
      <c r="P267" s="2"/>
      <c r="Q267" s="2"/>
      <c r="R267" s="2"/>
    </row>
    <row r="268" spans="1:18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5"/>
      <c r="L268" s="195"/>
      <c r="M268" s="76"/>
      <c r="N268" s="2"/>
      <c r="O268" s="2"/>
      <c r="P268" s="2"/>
      <c r="Q268" s="2"/>
      <c r="R268" s="2"/>
    </row>
    <row r="269" spans="1:18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5"/>
      <c r="L269" s="195"/>
      <c r="M269" s="76"/>
      <c r="N269" s="2"/>
      <c r="O269" s="2"/>
      <c r="P269" s="2"/>
      <c r="Q269" s="2"/>
      <c r="R269" s="2"/>
    </row>
    <row r="270" spans="1:18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5"/>
      <c r="L270" s="195"/>
      <c r="M270" s="76"/>
      <c r="N270" s="2"/>
      <c r="O270" s="2"/>
      <c r="P270" s="2"/>
      <c r="Q270" s="2"/>
      <c r="R270" s="2"/>
    </row>
    <row r="271" spans="1:18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5"/>
      <c r="L271" s="195"/>
      <c r="M271" s="76"/>
      <c r="N271" s="2"/>
      <c r="O271" s="2"/>
      <c r="P271" s="2"/>
      <c r="Q271" s="2"/>
      <c r="R271" s="2"/>
    </row>
    <row r="272" spans="1:18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5"/>
      <c r="L272" s="195"/>
      <c r="M272" s="76"/>
      <c r="N272" s="2"/>
      <c r="O272" s="2"/>
      <c r="P272" s="2"/>
      <c r="Q272" s="2"/>
      <c r="R272" s="2"/>
    </row>
    <row r="273" spans="1:18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5"/>
      <c r="L273" s="195"/>
      <c r="M273" s="76"/>
      <c r="N273" s="2"/>
      <c r="O273" s="2"/>
      <c r="P273" s="2"/>
      <c r="Q273" s="2"/>
      <c r="R273" s="2"/>
    </row>
    <row r="274" spans="1:18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5"/>
      <c r="L274" s="195"/>
      <c r="M274" s="76"/>
      <c r="N274" s="2"/>
      <c r="O274" s="2"/>
      <c r="P274" s="2"/>
      <c r="Q274" s="2"/>
      <c r="R274" s="2"/>
    </row>
    <row r="275" spans="1:18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5"/>
      <c r="L275" s="195"/>
      <c r="M275" s="76"/>
      <c r="N275" s="2"/>
      <c r="O275" s="2"/>
      <c r="P275" s="2"/>
      <c r="Q275" s="2"/>
      <c r="R275" s="2"/>
    </row>
    <row r="276" spans="1:18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5"/>
      <c r="L276" s="195"/>
      <c r="M276" s="76"/>
      <c r="N276" s="2"/>
      <c r="O276" s="2"/>
      <c r="P276" s="2"/>
      <c r="Q276" s="2"/>
      <c r="R276" s="2"/>
    </row>
    <row r="277" spans="1:18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5"/>
      <c r="L277" s="195"/>
      <c r="M277" s="76"/>
      <c r="N277" s="2"/>
      <c r="O277" s="2"/>
      <c r="P277" s="2"/>
      <c r="Q277" s="2"/>
      <c r="R277" s="2"/>
    </row>
    <row r="278" spans="1:18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5"/>
      <c r="L278" s="195"/>
      <c r="M278" s="76"/>
      <c r="N278" s="2"/>
      <c r="O278" s="2"/>
      <c r="P278" s="2"/>
      <c r="Q278" s="2"/>
      <c r="R278" s="2"/>
    </row>
    <row r="279" spans="1:18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5"/>
      <c r="L279" s="195"/>
      <c r="M279" s="76"/>
      <c r="N279" s="2"/>
      <c r="O279" s="2"/>
      <c r="P279" s="2"/>
      <c r="Q279" s="2"/>
      <c r="R279" s="2"/>
    </row>
    <row r="280" spans="1:18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5"/>
      <c r="L280" s="195"/>
      <c r="M280" s="76"/>
      <c r="N280" s="2"/>
      <c r="O280" s="2"/>
      <c r="P280" s="2"/>
      <c r="Q280" s="2"/>
      <c r="R280" s="2"/>
    </row>
    <row r="281" spans="1:18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5"/>
      <c r="L281" s="195"/>
      <c r="M281" s="76"/>
      <c r="N281" s="2"/>
      <c r="O281" s="2"/>
      <c r="P281" s="2"/>
      <c r="Q281" s="2"/>
      <c r="R281" s="2"/>
    </row>
    <row r="282" spans="1:18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5"/>
      <c r="L282" s="195"/>
      <c r="M282" s="76"/>
      <c r="N282" s="2"/>
      <c r="O282" s="2"/>
      <c r="P282" s="2"/>
      <c r="Q282" s="2"/>
      <c r="R282" s="2"/>
    </row>
    <row r="283" spans="1:18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5"/>
      <c r="L283" s="195"/>
      <c r="M283" s="76"/>
      <c r="N283" s="2"/>
      <c r="O283" s="2"/>
      <c r="P283" s="2"/>
      <c r="Q283" s="2"/>
      <c r="R283" s="2"/>
    </row>
    <row r="284" spans="1:18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5"/>
      <c r="L284" s="195"/>
      <c r="M284" s="76"/>
      <c r="N284" s="2"/>
      <c r="O284" s="2"/>
      <c r="P284" s="2"/>
      <c r="Q284" s="2"/>
      <c r="R284" s="2"/>
    </row>
    <row r="285" spans="1:18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5"/>
      <c r="L285" s="195"/>
      <c r="M285" s="76"/>
      <c r="N285" s="2"/>
      <c r="O285" s="2"/>
      <c r="P285" s="2"/>
      <c r="Q285" s="2"/>
      <c r="R285" s="2"/>
    </row>
    <row r="286" spans="1:18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5"/>
      <c r="L286" s="195"/>
      <c r="M286" s="76"/>
      <c r="N286" s="2"/>
      <c r="O286" s="2"/>
      <c r="P286" s="2"/>
      <c r="Q286" s="2"/>
      <c r="R286" s="2"/>
    </row>
    <row r="287" spans="1:18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5"/>
      <c r="L287" s="195"/>
      <c r="M287" s="76"/>
      <c r="N287" s="2"/>
      <c r="O287" s="2"/>
      <c r="P287" s="2"/>
      <c r="Q287" s="2"/>
      <c r="R287" s="2"/>
    </row>
    <row r="288" spans="1:1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5"/>
      <c r="L288" s="195"/>
      <c r="M288" s="76"/>
      <c r="N288" s="2"/>
      <c r="O288" s="2"/>
      <c r="P288" s="2"/>
      <c r="Q288" s="2"/>
      <c r="R288" s="2"/>
    </row>
    <row r="289" spans="1:1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5"/>
      <c r="L289" s="195"/>
      <c r="M289" s="76"/>
      <c r="N289" s="2"/>
      <c r="O289" s="2"/>
      <c r="P289" s="2"/>
      <c r="Q289" s="2"/>
      <c r="R289" s="2"/>
    </row>
    <row r="290" spans="1:1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5"/>
      <c r="L290" s="195"/>
      <c r="M290" s="76"/>
      <c r="N290" s="2"/>
      <c r="O290" s="2"/>
      <c r="P290" s="2"/>
      <c r="Q290" s="2"/>
      <c r="R290" s="2"/>
    </row>
    <row r="291" spans="1:1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5"/>
      <c r="L291" s="195"/>
      <c r="M291" s="76"/>
      <c r="N291" s="2"/>
      <c r="O291" s="2"/>
      <c r="P291" s="2"/>
      <c r="Q291" s="2"/>
      <c r="R291" s="2"/>
    </row>
    <row r="292" spans="1:1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5"/>
      <c r="L292" s="195"/>
      <c r="M292" s="76"/>
      <c r="N292" s="2"/>
      <c r="O292" s="2"/>
      <c r="P292" s="2"/>
      <c r="Q292" s="2"/>
      <c r="R292" s="2"/>
    </row>
    <row r="293" spans="1:1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5"/>
      <c r="L293" s="195"/>
      <c r="M293" s="76"/>
      <c r="N293" s="2"/>
      <c r="O293" s="2"/>
      <c r="P293" s="2"/>
      <c r="Q293" s="2"/>
      <c r="R293" s="2"/>
    </row>
    <row r="294" spans="1:1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5"/>
      <c r="L294" s="195"/>
      <c r="M294" s="76"/>
      <c r="N294" s="2"/>
      <c r="O294" s="2"/>
      <c r="P294" s="2"/>
      <c r="Q294" s="2"/>
      <c r="R294" s="2"/>
    </row>
    <row r="295" spans="1:1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5"/>
      <c r="L295" s="195"/>
      <c r="M295" s="76"/>
      <c r="N295" s="2"/>
      <c r="O295" s="2"/>
      <c r="P295" s="2"/>
      <c r="Q295" s="2"/>
      <c r="R295" s="2"/>
    </row>
    <row r="296" spans="1:1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5"/>
      <c r="L296" s="195"/>
      <c r="M296" s="76"/>
      <c r="N296" s="2"/>
      <c r="O296" s="2"/>
      <c r="P296" s="2"/>
      <c r="Q296" s="2"/>
      <c r="R296" s="2"/>
    </row>
    <row r="297" spans="1:18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5"/>
      <c r="L297" s="195"/>
      <c r="M297" s="76"/>
      <c r="N297" s="2"/>
      <c r="O297" s="2"/>
      <c r="P297" s="2"/>
      <c r="Q297" s="2"/>
      <c r="R297" s="2"/>
    </row>
    <row r="298" spans="1:18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5"/>
      <c r="L298" s="195"/>
      <c r="M298" s="76"/>
      <c r="N298" s="2"/>
      <c r="O298" s="2"/>
      <c r="P298" s="2"/>
      <c r="Q298" s="2"/>
      <c r="R298" s="2"/>
    </row>
    <row r="299" spans="1:18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5"/>
      <c r="L299" s="195"/>
      <c r="M299" s="76"/>
      <c r="N299" s="2"/>
      <c r="O299" s="2"/>
      <c r="P299" s="2"/>
      <c r="Q299" s="2"/>
      <c r="R299" s="2"/>
    </row>
    <row r="300" spans="1:18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5"/>
      <c r="L300" s="195"/>
      <c r="M300" s="76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5"/>
      <c r="L301" s="195"/>
      <c r="M301" s="76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5"/>
      <c r="L302" s="195"/>
      <c r="M302" s="76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5"/>
      <c r="L303" s="195"/>
      <c r="M303" s="76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5"/>
      <c r="L304" s="195"/>
      <c r="M304" s="76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5"/>
      <c r="L305" s="195"/>
      <c r="M305" s="76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5"/>
      <c r="L306" s="195"/>
      <c r="M306" s="76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5"/>
      <c r="L307" s="195"/>
      <c r="M307" s="76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5"/>
      <c r="L308" s="195"/>
      <c r="M308" s="76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5"/>
      <c r="L309" s="195"/>
      <c r="M309" s="76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5"/>
      <c r="L310" s="195"/>
      <c r="M310" s="76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5"/>
      <c r="L311" s="195"/>
      <c r="M311" s="76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5"/>
      <c r="L312" s="195"/>
      <c r="M312" s="76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5"/>
      <c r="L313" s="195"/>
      <c r="M313" s="76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5"/>
      <c r="L314" s="195"/>
      <c r="M314" s="76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5"/>
      <c r="L315" s="195"/>
      <c r="M315" s="76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5"/>
      <c r="L316" s="195"/>
      <c r="M316" s="76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5"/>
      <c r="L317" s="195"/>
      <c r="M317" s="76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5"/>
      <c r="L318" s="195"/>
      <c r="M318" s="76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5"/>
      <c r="L319" s="195"/>
      <c r="M319" s="76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5"/>
      <c r="L320" s="195"/>
      <c r="M320" s="76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5"/>
      <c r="L321" s="195"/>
      <c r="M321" s="76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5"/>
      <c r="L322" s="195"/>
      <c r="M322" s="76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5"/>
      <c r="L323" s="195"/>
      <c r="M323" s="76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5"/>
      <c r="L324" s="195"/>
      <c r="M324" s="76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5"/>
      <c r="L325" s="195"/>
      <c r="M325" s="76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5"/>
      <c r="L326" s="195"/>
      <c r="M326" s="76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5"/>
      <c r="L327" s="195"/>
      <c r="M327" s="76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5"/>
      <c r="L328" s="195"/>
      <c r="M328" s="76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5"/>
      <c r="L329" s="195"/>
      <c r="M329" s="76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5"/>
      <c r="L330" s="195"/>
      <c r="M330" s="76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5"/>
      <c r="L331" s="195"/>
      <c r="M331" s="76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5"/>
      <c r="L332" s="195"/>
      <c r="M332" s="76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5"/>
      <c r="L333" s="195"/>
      <c r="M333" s="76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5"/>
      <c r="L334" s="195"/>
      <c r="M334" s="76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5"/>
      <c r="L335" s="195"/>
      <c r="M335" s="76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5"/>
      <c r="L336" s="195"/>
      <c r="M336" s="76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5"/>
      <c r="L337" s="195"/>
      <c r="M337" s="76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5"/>
      <c r="L338" s="195"/>
      <c r="M338" s="76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5"/>
      <c r="L339" s="195"/>
      <c r="M339" s="76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5"/>
      <c r="L340" s="195"/>
      <c r="M340" s="76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5"/>
      <c r="L341" s="195"/>
      <c r="M341" s="76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5"/>
      <c r="L342" s="195"/>
      <c r="M342" s="76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5"/>
      <c r="L343" s="195"/>
      <c r="M343" s="76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5"/>
      <c r="L344" s="195"/>
      <c r="M344" s="76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5"/>
      <c r="L345" s="195"/>
      <c r="M345" s="76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5"/>
      <c r="L346" s="195"/>
      <c r="M346" s="76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5"/>
      <c r="L347" s="195"/>
      <c r="M347" s="76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5"/>
      <c r="L348" s="195"/>
      <c r="M348" s="76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5"/>
      <c r="L349" s="195"/>
      <c r="M349" s="76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5"/>
      <c r="L350" s="195"/>
      <c r="M350" s="76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5"/>
      <c r="L351" s="195"/>
      <c r="M351" s="76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5"/>
      <c r="L352" s="195"/>
      <c r="M352" s="76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5"/>
      <c r="L353" s="195"/>
      <c r="M353" s="76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5"/>
      <c r="L354" s="195"/>
      <c r="M354" s="76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5"/>
      <c r="L355" s="195"/>
      <c r="M355" s="76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5"/>
      <c r="L356" s="195"/>
      <c r="M356" s="76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5"/>
      <c r="L357" s="195"/>
      <c r="M357" s="76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5"/>
      <c r="L358" s="195"/>
      <c r="M358" s="76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5"/>
      <c r="L359" s="195"/>
      <c r="M359" s="76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5"/>
      <c r="L360" s="195"/>
      <c r="M360" s="76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5"/>
      <c r="L361" s="195"/>
      <c r="M361" s="76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5"/>
      <c r="L362" s="195"/>
      <c r="M362" s="76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5"/>
      <c r="L363" s="195"/>
      <c r="M363" s="76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5"/>
      <c r="L364" s="195"/>
      <c r="M364" s="76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5"/>
      <c r="L365" s="195"/>
      <c r="M365" s="76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5"/>
      <c r="L366" s="195"/>
      <c r="M366" s="76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5"/>
      <c r="L367" s="195"/>
      <c r="M367" s="76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5"/>
      <c r="L368" s="195"/>
      <c r="M368" s="76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5"/>
      <c r="L369" s="195"/>
      <c r="M369" s="76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5"/>
      <c r="L370" s="195"/>
      <c r="M370" s="76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5"/>
      <c r="L371" s="195"/>
      <c r="M371" s="76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5"/>
      <c r="L372" s="195"/>
      <c r="M372" s="76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5"/>
      <c r="L373" s="195"/>
      <c r="M373" s="76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5"/>
      <c r="L374" s="195"/>
      <c r="M374" s="76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5"/>
      <c r="L375" s="195"/>
      <c r="M375" s="76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5"/>
      <c r="L376" s="195"/>
      <c r="M376" s="76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5"/>
      <c r="L377" s="195"/>
      <c r="M377" s="76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5"/>
      <c r="L378" s="195"/>
      <c r="M378" s="76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5"/>
      <c r="L379" s="195"/>
      <c r="M379" s="76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5"/>
      <c r="L380" s="195"/>
      <c r="M380" s="76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5"/>
      <c r="L381" s="195"/>
      <c r="M381" s="76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5"/>
      <c r="L382" s="195"/>
      <c r="M382" s="76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5"/>
      <c r="L383" s="195"/>
      <c r="M383" s="76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5"/>
      <c r="L384" s="195"/>
      <c r="M384" s="76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5"/>
      <c r="L385" s="195"/>
      <c r="M385" s="76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5"/>
      <c r="L386" s="195"/>
      <c r="M386" s="76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5"/>
      <c r="L387" s="195"/>
      <c r="M387" s="76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5"/>
      <c r="L388" s="195"/>
      <c r="M388" s="76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5"/>
      <c r="L389" s="195"/>
      <c r="M389" s="76"/>
      <c r="N389" s="2"/>
      <c r="O389" s="2"/>
      <c r="P389" s="2"/>
      <c r="Q389" s="2"/>
      <c r="R389" s="2"/>
    </row>
  </sheetData>
  <sheetProtection/>
  <printOptions horizontalCentered="1"/>
  <pageMargins left="0.7" right="0.25" top="0.319444444444444" bottom="0.2" header="0.5" footer="0.25"/>
  <pageSetup horizontalDpi="600" verticalDpi="600" orientation="landscape" scale="65" r:id="rId1"/>
  <rowBreaks count="2" manualBreakCount="2">
    <brk id="47" max="12" man="1"/>
    <brk id="8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OutlineSymbols="0" zoomScalePageLayoutView="0" workbookViewId="0" topLeftCell="A1">
      <selection activeCell="A1" sqref="A1"/>
    </sheetView>
  </sheetViews>
  <sheetFormatPr defaultColWidth="9.6640625" defaultRowHeight="15"/>
  <cols>
    <col min="1" max="1" width="10.21484375" style="81" customWidth="1"/>
    <col min="2" max="2" width="9.77734375" style="81" customWidth="1"/>
    <col min="3" max="3" width="16.10546875" style="81" customWidth="1"/>
    <col min="4" max="4" width="16.21484375" style="81" customWidth="1"/>
    <col min="5" max="5" width="13.6640625" style="81" customWidth="1"/>
    <col min="6" max="6" width="14.3359375" style="81" customWidth="1"/>
    <col min="7" max="7" width="21.4453125" style="81" customWidth="1"/>
    <col min="8" max="8" width="17.88671875" style="81" customWidth="1"/>
    <col min="9" max="9" width="15.4453125" style="81" customWidth="1"/>
    <col min="10" max="10" width="14.6640625" style="81" customWidth="1"/>
    <col min="11" max="11" width="11.5546875" style="81" customWidth="1"/>
    <col min="12" max="12" width="12.77734375" style="81" customWidth="1"/>
    <col min="13" max="13" width="14.5546875" style="81" customWidth="1"/>
    <col min="14" max="14" width="9.4453125" style="81" customWidth="1"/>
    <col min="15" max="15" width="13.88671875" style="81" customWidth="1"/>
    <col min="16" max="16" width="3.77734375" style="81" customWidth="1"/>
    <col min="17" max="16384" width="9.6640625" style="81" customWidth="1"/>
  </cols>
  <sheetData>
    <row r="1" spans="1:15" ht="23.25">
      <c r="A1" s="79" t="s">
        <v>0</v>
      </c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23.25">
      <c r="A2" s="79" t="s">
        <v>23</v>
      </c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23.25">
      <c r="A3" s="79" t="s">
        <v>77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23.25">
      <c r="A4" s="79"/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ht="24" thickBot="1">
      <c r="A5" s="79" t="s">
        <v>24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6" ht="16.5" thickTop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 t="s">
        <v>25</v>
      </c>
      <c r="P6" s="84"/>
    </row>
    <row r="7" spans="1:16" ht="15.75">
      <c r="A7" s="106" t="s">
        <v>26</v>
      </c>
      <c r="B7" s="85" t="s">
        <v>13</v>
      </c>
      <c r="C7" s="85" t="s">
        <v>15</v>
      </c>
      <c r="D7" s="85" t="s">
        <v>56</v>
      </c>
      <c r="E7" s="282" t="s">
        <v>66</v>
      </c>
      <c r="F7" s="85" t="s">
        <v>16</v>
      </c>
      <c r="G7" s="85" t="s">
        <v>62</v>
      </c>
      <c r="H7" s="85" t="s">
        <v>17</v>
      </c>
      <c r="I7" s="85" t="s">
        <v>55</v>
      </c>
      <c r="J7" s="85" t="s">
        <v>27</v>
      </c>
      <c r="K7" s="85" t="s">
        <v>58</v>
      </c>
      <c r="L7" s="85" t="s">
        <v>53</v>
      </c>
      <c r="M7" s="85" t="s">
        <v>19</v>
      </c>
      <c r="N7" s="85" t="s">
        <v>54</v>
      </c>
      <c r="O7" s="85" t="s">
        <v>28</v>
      </c>
      <c r="P7" s="84"/>
    </row>
    <row r="8" spans="1:16" ht="16.5" thickBot="1">
      <c r="A8" s="86"/>
      <c r="B8" s="86"/>
      <c r="C8" s="86"/>
      <c r="D8" s="86"/>
      <c r="E8" s="283" t="s">
        <v>67</v>
      </c>
      <c r="F8" s="86"/>
      <c r="G8" s="86"/>
      <c r="H8" s="86"/>
      <c r="I8" s="86"/>
      <c r="J8" s="86"/>
      <c r="K8" s="86"/>
      <c r="L8" s="86"/>
      <c r="M8" s="86"/>
      <c r="N8" s="86"/>
      <c r="O8" s="86"/>
      <c r="P8" s="84"/>
    </row>
    <row r="9" spans="1:16" ht="15.75" thickTop="1">
      <c r="A9" s="87"/>
      <c r="B9" s="87"/>
      <c r="C9" s="87"/>
      <c r="D9" s="87"/>
      <c r="E9" s="88"/>
      <c r="F9" s="88"/>
      <c r="G9" s="88"/>
      <c r="H9" s="88"/>
      <c r="I9" s="88"/>
      <c r="J9" s="87"/>
      <c r="K9" s="87"/>
      <c r="L9" s="87"/>
      <c r="M9" s="87"/>
      <c r="N9" s="87"/>
      <c r="O9" s="87"/>
      <c r="P9" s="84"/>
    </row>
    <row r="10" spans="1:16" ht="15.75">
      <c r="A10" s="89">
        <f>DATE(2013,7,1)</f>
        <v>41456</v>
      </c>
      <c r="B10" s="90">
        <f>'MONTHLY STATS'!$C$9*2</f>
        <v>639432</v>
      </c>
      <c r="C10" s="90">
        <f>'MONTHLY STATS'!$C$17*2</f>
        <v>334924</v>
      </c>
      <c r="D10" s="90">
        <f>'MONTHLY STATS'!$C$25*2</f>
        <v>150422</v>
      </c>
      <c r="E10" s="90">
        <f>'MONTHLY STATS'!$C$33*2</f>
        <v>1055968</v>
      </c>
      <c r="F10" s="90">
        <f>'MONTHLY STATS'!$C$41*2</f>
        <v>656580</v>
      </c>
      <c r="G10" s="90">
        <f>'MONTHLY STATS'!$C$49*2</f>
        <v>331902</v>
      </c>
      <c r="H10" s="90">
        <f>'MONTHLY STATS'!$C$57*2</f>
        <v>477428</v>
      </c>
      <c r="I10" s="90">
        <f>'MONTHLY STATS'!$C$65*2</f>
        <v>753758</v>
      </c>
      <c r="J10" s="90">
        <f>'MONTHLY STATS'!$C$73*2</f>
        <v>1005644</v>
      </c>
      <c r="K10" s="90">
        <f>'MONTHLY STATS'!$C$81*2</f>
        <v>956670</v>
      </c>
      <c r="L10" s="90">
        <f>'MONTHLY STATS'!$C$89*2</f>
        <v>173892</v>
      </c>
      <c r="M10" s="90">
        <f>'MONTHLY STATS'!$C$97*2</f>
        <v>1114708</v>
      </c>
      <c r="N10" s="90">
        <f>'MONTHLY STATS'!$C$105*2</f>
        <v>194366</v>
      </c>
      <c r="O10" s="91">
        <f>SUM(B10:N10)</f>
        <v>7845694</v>
      </c>
      <c r="P10" s="84"/>
    </row>
    <row r="11" spans="1:16" ht="15.75">
      <c r="A11" s="89">
        <f>DATE(2013,8,1)</f>
        <v>41487</v>
      </c>
      <c r="B11" s="90">
        <f>'MONTHLY STATS'!$C$10*2</f>
        <v>632864</v>
      </c>
      <c r="C11" s="90">
        <f>'MONTHLY STATS'!$C$18*2</f>
        <v>361628</v>
      </c>
      <c r="D11" s="90">
        <f>'MONTHLY STATS'!$C$26*2</f>
        <v>148260</v>
      </c>
      <c r="E11" s="90">
        <f>'MONTHLY STATS'!$C$34*2</f>
        <v>992484</v>
      </c>
      <c r="F11" s="90">
        <f>'MONTHLY STATS'!$C$42*2</f>
        <v>679542</v>
      </c>
      <c r="G11" s="90">
        <f>'MONTHLY STATS'!$C$50*2</f>
        <v>351394</v>
      </c>
      <c r="H11" s="90">
        <f>'MONTHLY STATS'!$C$58*2</f>
        <v>485390</v>
      </c>
      <c r="I11" s="90">
        <f>'MONTHLY STATS'!$C$66*2</f>
        <v>798368</v>
      </c>
      <c r="J11" s="90">
        <f>'MONTHLY STATS'!$C$74*2</f>
        <v>1133454</v>
      </c>
      <c r="K11" s="90">
        <f>'MONTHLY STATS'!$C$82*2</f>
        <v>1058780</v>
      </c>
      <c r="L11" s="90">
        <f>'MONTHLY STATS'!$C$90*2</f>
        <v>179766</v>
      </c>
      <c r="M11" s="90">
        <f>'MONTHLY STATS'!$C$98*2</f>
        <v>1116486</v>
      </c>
      <c r="N11" s="90">
        <f>'MONTHLY STATS'!$C$106*2</f>
        <v>198336</v>
      </c>
      <c r="O11" s="91">
        <f>SUM(B11:N11)</f>
        <v>8136752</v>
      </c>
      <c r="P11" s="84"/>
    </row>
    <row r="12" spans="1:16" ht="15.75">
      <c r="A12" s="89">
        <f>DATE(2013,9,1)</f>
        <v>41518</v>
      </c>
      <c r="B12" s="90">
        <f>'MONTHLY STATS'!$C$11*2</f>
        <v>564680</v>
      </c>
      <c r="C12" s="90">
        <f>'MONTHLY STATS'!$C$19*2</f>
        <v>332686</v>
      </c>
      <c r="D12" s="90">
        <f>'MONTHLY STATS'!$C$27*2</f>
        <v>132652</v>
      </c>
      <c r="E12" s="90">
        <f>'MONTHLY STATS'!$C$35*2</f>
        <v>926850</v>
      </c>
      <c r="F12" s="90">
        <f>'MONTHLY STATS'!$C$43*2</f>
        <v>642904</v>
      </c>
      <c r="G12" s="90">
        <f>'MONTHLY STATS'!$C$51*2</f>
        <v>289512</v>
      </c>
      <c r="H12" s="90">
        <f>'MONTHLY STATS'!$C$59*2</f>
        <v>446556</v>
      </c>
      <c r="I12" s="90">
        <f>'MONTHLY STATS'!$C$67*2</f>
        <v>745420</v>
      </c>
      <c r="J12" s="90">
        <f>'MONTHLY STATS'!$C$75*2</f>
        <v>943920</v>
      </c>
      <c r="K12" s="90">
        <f>'MONTHLY STATS'!$C$83*2</f>
        <v>1011748</v>
      </c>
      <c r="L12" s="90">
        <f>'MONTHLY STATS'!$C$91*2</f>
        <v>167232</v>
      </c>
      <c r="M12" s="90">
        <f>'MONTHLY STATS'!$C$99*2</f>
        <v>1034882</v>
      </c>
      <c r="N12" s="90">
        <f>'MONTHLY STATS'!$C$107*2</f>
        <v>184598</v>
      </c>
      <c r="O12" s="91">
        <f>SUM(B12:N12)</f>
        <v>7423640</v>
      </c>
      <c r="P12" s="84"/>
    </row>
    <row r="13" spans="1:16" ht="15.75">
      <c r="A13" s="89">
        <f>DATE(2013,10,1)</f>
        <v>41548</v>
      </c>
      <c r="B13" s="90">
        <f>'MONTHLY STATS'!$C$12*2</f>
        <v>536668</v>
      </c>
      <c r="C13" s="90">
        <f>'MONTHLY STATS'!$C$20*2</f>
        <v>307748</v>
      </c>
      <c r="D13" s="90">
        <f>'MONTHLY STATS'!$C$28*2</f>
        <v>125408</v>
      </c>
      <c r="E13" s="90">
        <f>'MONTHLY STATS'!$C$36*2</f>
        <v>902540</v>
      </c>
      <c r="F13" s="90">
        <f>'MONTHLY STATS'!$C$44*2</f>
        <v>648252</v>
      </c>
      <c r="G13" s="90">
        <f>'MONTHLY STATS'!$C$52*2</f>
        <v>263894</v>
      </c>
      <c r="H13" s="90">
        <f>'MONTHLY STATS'!$C$60*2</f>
        <v>440596</v>
      </c>
      <c r="I13" s="90">
        <f>'MONTHLY STATS'!$C$68*2</f>
        <v>714774</v>
      </c>
      <c r="J13" s="90">
        <f>'MONTHLY STATS'!$C$76*2</f>
        <v>916550</v>
      </c>
      <c r="K13" s="90">
        <f>'MONTHLY STATS'!$C$84*2</f>
        <v>978668</v>
      </c>
      <c r="L13" s="90">
        <f>'MONTHLY STATS'!$C$92*2</f>
        <v>160770</v>
      </c>
      <c r="M13" s="90">
        <f>'MONTHLY STATS'!$C$100*2</f>
        <v>1015824</v>
      </c>
      <c r="N13" s="90">
        <f>'MONTHLY STATS'!$C$108*2</f>
        <v>187134</v>
      </c>
      <c r="O13" s="91">
        <f>SUM(B13:N13)</f>
        <v>7198826</v>
      </c>
      <c r="P13" s="84"/>
    </row>
    <row r="14" spans="1:16" ht="15.75">
      <c r="A14" s="89">
        <f>DATE(2013,11,1)</f>
        <v>41579</v>
      </c>
      <c r="B14" s="90">
        <f>'MONTHLY STATS'!$C$13*2</f>
        <v>535766</v>
      </c>
      <c r="C14" s="90">
        <f>'MONTHLY STATS'!$C$21*2</f>
        <v>315998</v>
      </c>
      <c r="D14" s="90">
        <f>'MONTHLY STATS'!$C$29*2</f>
        <v>130296</v>
      </c>
      <c r="E14" s="90">
        <f>'MONTHLY STATS'!$C$37*2</f>
        <v>923236</v>
      </c>
      <c r="F14" s="90">
        <f>'MONTHLY STATS'!$C$45*2</f>
        <v>669302</v>
      </c>
      <c r="G14" s="90">
        <f>'MONTHLY STATS'!$C$53*2</f>
        <v>285440</v>
      </c>
      <c r="H14" s="90">
        <f>'MONTHLY STATS'!$C$61*2</f>
        <v>414716</v>
      </c>
      <c r="I14" s="90">
        <f>'MONTHLY STATS'!$C$69*2</f>
        <v>759226</v>
      </c>
      <c r="J14" s="90">
        <f>'MONTHLY STATS'!$C$77*2</f>
        <v>968260</v>
      </c>
      <c r="K14" s="90">
        <f>'MONTHLY STATS'!$C$85*2</f>
        <v>1048154</v>
      </c>
      <c r="L14" s="90">
        <f>'MONTHLY STATS'!$C$93*2</f>
        <v>170108</v>
      </c>
      <c r="M14" s="90">
        <f>'MONTHLY STATS'!$C$101*2</f>
        <v>1092786</v>
      </c>
      <c r="N14" s="90">
        <f>'MONTHLY STATS'!$C$109*2</f>
        <v>185968</v>
      </c>
      <c r="O14" s="91">
        <f>SUM(B14:N14)</f>
        <v>7499256</v>
      </c>
      <c r="P14" s="84"/>
    </row>
    <row r="15" spans="1:16" ht="15.75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1"/>
      <c r="P15" s="84"/>
    </row>
    <row r="16" spans="1:16" ht="15.75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84"/>
    </row>
    <row r="17" spans="1:16" ht="15.75">
      <c r="A17" s="89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1"/>
      <c r="P17" s="84"/>
    </row>
    <row r="18" spans="1:16" ht="15.75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1"/>
      <c r="P18" s="84"/>
    </row>
    <row r="19" spans="1:16" ht="15.7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84"/>
    </row>
    <row r="20" spans="1:16" ht="15.75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1"/>
      <c r="P20" s="84"/>
    </row>
    <row r="21" spans="1:16" ht="15.75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/>
      <c r="P21" s="84"/>
    </row>
    <row r="22" spans="1:16" ht="15.75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1"/>
      <c r="P22" s="84"/>
    </row>
    <row r="23" spans="1:16" ht="15.75">
      <c r="A23" s="92" t="s">
        <v>29</v>
      </c>
      <c r="B23" s="91">
        <f aca="true" t="shared" si="0" ref="B23:O23">SUM(B10:B21)</f>
        <v>2909410</v>
      </c>
      <c r="C23" s="91">
        <f t="shared" si="0"/>
        <v>1652984</v>
      </c>
      <c r="D23" s="91">
        <f t="shared" si="0"/>
        <v>687038</v>
      </c>
      <c r="E23" s="91">
        <f t="shared" si="0"/>
        <v>4801078</v>
      </c>
      <c r="F23" s="91">
        <f t="shared" si="0"/>
        <v>3296580</v>
      </c>
      <c r="G23" s="91">
        <f>SUM(G10:G21)</f>
        <v>1522142</v>
      </c>
      <c r="H23" s="91">
        <f t="shared" si="0"/>
        <v>2264686</v>
      </c>
      <c r="I23" s="91">
        <f>SUM(I10:I21)</f>
        <v>3771546</v>
      </c>
      <c r="J23" s="91">
        <f t="shared" si="0"/>
        <v>4967828</v>
      </c>
      <c r="K23" s="91">
        <f>SUM(K10:K21)</f>
        <v>5054020</v>
      </c>
      <c r="L23" s="91">
        <f t="shared" si="0"/>
        <v>851768</v>
      </c>
      <c r="M23" s="91">
        <f t="shared" si="0"/>
        <v>5374686</v>
      </c>
      <c r="N23" s="91">
        <f t="shared" si="0"/>
        <v>950402</v>
      </c>
      <c r="O23" s="91">
        <f t="shared" si="0"/>
        <v>38104168</v>
      </c>
      <c r="P23" s="84"/>
    </row>
    <row r="24" spans="1:16" ht="16.5" thickBot="1">
      <c r="A24" s="93"/>
      <c r="B24" s="91"/>
      <c r="C24" s="91"/>
      <c r="D24" s="91"/>
      <c r="E24" s="90"/>
      <c r="F24" s="90"/>
      <c r="G24" s="90"/>
      <c r="H24" s="90"/>
      <c r="I24" s="90"/>
      <c r="J24" s="91"/>
      <c r="K24" s="91"/>
      <c r="L24" s="91"/>
      <c r="M24" s="91"/>
      <c r="N24" s="91"/>
      <c r="O24" s="91"/>
      <c r="P24" s="84"/>
    </row>
    <row r="25" spans="1:15" ht="15.75" thickTop="1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6"/>
      <c r="L25" s="96"/>
      <c r="M25" s="96"/>
      <c r="N25" s="96"/>
      <c r="O25" s="96"/>
    </row>
    <row r="26" spans="1:15" ht="24" thickBot="1">
      <c r="A26" s="97" t="s">
        <v>30</v>
      </c>
      <c r="B26" s="98"/>
      <c r="C26" s="99"/>
      <c r="D26" s="99"/>
      <c r="E26" s="99"/>
      <c r="F26" s="99"/>
      <c r="G26" s="99"/>
      <c r="H26" s="99"/>
      <c r="I26" s="99"/>
      <c r="J26" s="99"/>
      <c r="K26" s="100"/>
      <c r="L26" s="100"/>
      <c r="M26" s="100"/>
      <c r="N26" s="100"/>
      <c r="O26" s="100"/>
    </row>
    <row r="27" spans="1:16" ht="16.5" thickTop="1">
      <c r="A27" s="101"/>
      <c r="B27" s="102"/>
      <c r="C27" s="102"/>
      <c r="D27" s="102"/>
      <c r="E27" s="103"/>
      <c r="F27" s="103"/>
      <c r="G27" s="103"/>
      <c r="H27" s="103"/>
      <c r="I27" s="103"/>
      <c r="J27" s="102"/>
      <c r="K27" s="104"/>
      <c r="L27" s="104"/>
      <c r="M27" s="104"/>
      <c r="N27" s="104"/>
      <c r="O27" s="105" t="s">
        <v>25</v>
      </c>
      <c r="P27" s="84"/>
    </row>
    <row r="28" spans="1:16" ht="15.75">
      <c r="A28" s="106" t="s">
        <v>26</v>
      </c>
      <c r="B28" s="85" t="s">
        <v>13</v>
      </c>
      <c r="C28" s="85" t="s">
        <v>15</v>
      </c>
      <c r="D28" s="85" t="s">
        <v>56</v>
      </c>
      <c r="E28" s="282" t="s">
        <v>66</v>
      </c>
      <c r="F28" s="85" t="s">
        <v>16</v>
      </c>
      <c r="G28" s="85" t="s">
        <v>62</v>
      </c>
      <c r="H28" s="85" t="s">
        <v>17</v>
      </c>
      <c r="I28" s="85" t="s">
        <v>55</v>
      </c>
      <c r="J28" s="85" t="s">
        <v>27</v>
      </c>
      <c r="K28" s="107" t="s">
        <v>58</v>
      </c>
      <c r="L28" s="107" t="s">
        <v>53</v>
      </c>
      <c r="M28" s="107" t="s">
        <v>19</v>
      </c>
      <c r="N28" s="107" t="s">
        <v>54</v>
      </c>
      <c r="O28" s="107" t="s">
        <v>28</v>
      </c>
      <c r="P28" s="84"/>
    </row>
    <row r="29" spans="1:16" ht="16.5" thickBot="1">
      <c r="A29" s="108"/>
      <c r="B29" s="109"/>
      <c r="C29" s="109"/>
      <c r="D29" s="109"/>
      <c r="E29" s="283" t="s">
        <v>67</v>
      </c>
      <c r="F29" s="85"/>
      <c r="G29" s="85"/>
      <c r="H29" s="85"/>
      <c r="I29" s="85"/>
      <c r="J29" s="109"/>
      <c r="K29" s="110"/>
      <c r="L29" s="110"/>
      <c r="M29" s="110"/>
      <c r="N29" s="110"/>
      <c r="O29" s="110"/>
      <c r="P29" s="84"/>
    </row>
    <row r="30" spans="1:16" ht="15.75" thickTop="1">
      <c r="A30" s="111"/>
      <c r="B30" s="112"/>
      <c r="C30" s="112"/>
      <c r="D30" s="112"/>
      <c r="E30" s="113"/>
      <c r="F30" s="113"/>
      <c r="G30" s="113"/>
      <c r="H30" s="113"/>
      <c r="I30" s="113"/>
      <c r="J30" s="112"/>
      <c r="K30" s="114"/>
      <c r="L30" s="114"/>
      <c r="M30" s="114"/>
      <c r="N30" s="114"/>
      <c r="O30" s="114"/>
      <c r="P30" s="84"/>
    </row>
    <row r="31" spans="1:16" ht="15.75">
      <c r="A31" s="89">
        <f>DATE(2013,7,1)</f>
        <v>41456</v>
      </c>
      <c r="B31" s="90">
        <f>'MONTHLY STATS'!$K$9*0.21</f>
        <v>2635998.6324</v>
      </c>
      <c r="C31" s="90">
        <f>'MONTHLY STATS'!$K$17*0.21</f>
        <v>1357337.1609</v>
      </c>
      <c r="D31" s="90">
        <f>'MONTHLY STATS'!$K$25*0.21</f>
        <v>587678.9478</v>
      </c>
      <c r="E31" s="90">
        <f>'MONTHLY STATS'!$K$33*0.21</f>
        <v>4350202.4517</v>
      </c>
      <c r="F31" s="90">
        <f>'MONTHLY STATS'!$K$41*0.21</f>
        <v>3121715.3604</v>
      </c>
      <c r="G31" s="90">
        <f>'MONTHLY STATS'!$K$49*0.21</f>
        <v>1020735.8468999999</v>
      </c>
      <c r="H31" s="90">
        <f>'MONTHLY STATS'!$K$57*0.21</f>
        <v>1379966.9583</v>
      </c>
      <c r="I31" s="90">
        <f>'MONTHLY STATS'!$K$65*0.21</f>
        <v>2387719.5405</v>
      </c>
      <c r="J31" s="90">
        <f>'MONTHLY STATS'!$K$73*0.21</f>
        <v>3625339.3617</v>
      </c>
      <c r="K31" s="90">
        <f>'MONTHLY STATS'!$K$81*0.21</f>
        <v>3442966.0776</v>
      </c>
      <c r="L31" s="90">
        <f>'MONTHLY STATS'!$K$89*0.21</f>
        <v>624636.0792</v>
      </c>
      <c r="M31" s="90">
        <f>'MONTHLY STATS'!$K$97*0.21</f>
        <v>4507663.7949</v>
      </c>
      <c r="N31" s="90">
        <f>'MONTHLY STATS'!$K$105*0.21</f>
        <v>637211.7045</v>
      </c>
      <c r="O31" s="91">
        <f>SUM(B31:N31)</f>
        <v>29679171.9168</v>
      </c>
      <c r="P31" s="84"/>
    </row>
    <row r="32" spans="1:16" ht="15.75">
      <c r="A32" s="89">
        <f>DATE(2013,8,1)</f>
        <v>41487</v>
      </c>
      <c r="B32" s="90">
        <f>'MONTHLY STATS'!$K$10*0.21</f>
        <v>2650461.1203</v>
      </c>
      <c r="C32" s="90">
        <f>'MONTHLY STATS'!$K$18*0.21</f>
        <v>1511536.0218</v>
      </c>
      <c r="D32" s="90">
        <f>'MONTHLY STATS'!$K$26*0.21</f>
        <v>579076.0962</v>
      </c>
      <c r="E32" s="90">
        <f>'MONTHLY STATS'!$K$34*0.21</f>
        <v>4158994.5705</v>
      </c>
      <c r="F32" s="90">
        <f>'MONTHLY STATS'!$K$42*0.21</f>
        <v>3257996.6307</v>
      </c>
      <c r="G32" s="90">
        <f>'MONTHLY STATS'!$K$50*0.21</f>
        <v>1084336.6716</v>
      </c>
      <c r="H32" s="90">
        <f>'MONTHLY STATS'!$K$58*0.21</f>
        <v>1371912.9774</v>
      </c>
      <c r="I32" s="90">
        <f>'MONTHLY STATS'!$K$66*0.21</f>
        <v>2684350.3155</v>
      </c>
      <c r="J32" s="90">
        <f>'MONTHLY STATS'!$K$74*0.21</f>
        <v>3782414.223</v>
      </c>
      <c r="K32" s="90">
        <f>'MONTHLY STATS'!$K$82*0.21</f>
        <v>3813926.0375999995</v>
      </c>
      <c r="L32" s="90">
        <f>'MONTHLY STATS'!$K$90*0.21</f>
        <v>638075.0901</v>
      </c>
      <c r="M32" s="90">
        <f>'MONTHLY STATS'!$K$98*0.21</f>
        <v>4674463.6491</v>
      </c>
      <c r="N32" s="90">
        <f>'MONTHLY STATS'!$K$106*0.21</f>
        <v>663778.7204999999</v>
      </c>
      <c r="O32" s="91">
        <f>SUM(B32:N32)</f>
        <v>30871322.124300003</v>
      </c>
      <c r="P32" s="84"/>
    </row>
    <row r="33" spans="1:16" ht="15.75">
      <c r="A33" s="89">
        <f>DATE(2013,9,1)</f>
        <v>41518</v>
      </c>
      <c r="B33" s="90">
        <f>'MONTHLY STATS'!$K$11*0.21</f>
        <v>2380008.3908999995</v>
      </c>
      <c r="C33" s="90">
        <f>'MONTHLY STATS'!$K$19*0.21</f>
        <v>1407670.4753999999</v>
      </c>
      <c r="D33" s="90">
        <f>'MONTHLY STATS'!$K$27*0.21</f>
        <v>530572.2890999999</v>
      </c>
      <c r="E33" s="90">
        <f>'MONTHLY STATS'!$K$35*0.21</f>
        <v>3867369.5339999995</v>
      </c>
      <c r="F33" s="90">
        <f>'MONTHLY STATS'!$K$43*0.21</f>
        <v>2950333.5099</v>
      </c>
      <c r="G33" s="90">
        <f>'MONTHLY STATS'!$K$51*0.21</f>
        <v>968101.5959999999</v>
      </c>
      <c r="H33" s="90">
        <f>'MONTHLY STATS'!$K$59*0.21</f>
        <v>1287571.0722</v>
      </c>
      <c r="I33" s="90">
        <f>'MONTHLY STATS'!$K$67*0.21</f>
        <v>2483515.6437</v>
      </c>
      <c r="J33" s="90">
        <f>'MONTHLY STATS'!$K$75*0.21</f>
        <v>3332090.9012999996</v>
      </c>
      <c r="K33" s="90">
        <f>'MONTHLY STATS'!$K$83*0.21</f>
        <v>3599394.1032000002</v>
      </c>
      <c r="L33" s="90">
        <f>'MONTHLY STATS'!$K$91*0.21</f>
        <v>606259.2501</v>
      </c>
      <c r="M33" s="90">
        <f>'MONTHLY STATS'!$K$99*0.21</f>
        <v>4245522.313200001</v>
      </c>
      <c r="N33" s="90">
        <f>'MONTHLY STATS'!$K$107*0.21</f>
        <v>628698.6426</v>
      </c>
      <c r="O33" s="91">
        <f>SUM(B33:N33)</f>
        <v>28287107.7216</v>
      </c>
      <c r="P33" s="84"/>
    </row>
    <row r="34" spans="1:16" ht="15.75">
      <c r="A34" s="89">
        <f>DATE(2013,10,1)</f>
        <v>41548</v>
      </c>
      <c r="B34" s="90">
        <f>'MONTHLY STATS'!$K$12*0.21</f>
        <v>2336847.9477</v>
      </c>
      <c r="C34" s="90">
        <f>'MONTHLY STATS'!$K$20*0.21</f>
        <v>1294325.1636</v>
      </c>
      <c r="D34" s="90">
        <f>'MONTHLY STATS'!$K$28*0.21</f>
        <v>488799.95639999997</v>
      </c>
      <c r="E34" s="90">
        <f>'MONTHLY STATS'!$K$36*0.21</f>
        <v>3605306.6447999994</v>
      </c>
      <c r="F34" s="90">
        <f>'MONTHLY STATS'!$K$44*0.21</f>
        <v>3299743.4483999996</v>
      </c>
      <c r="G34" s="90">
        <f>'MONTHLY STATS'!$K$52*0.21</f>
        <v>892952.5920000001</v>
      </c>
      <c r="H34" s="90">
        <f>'MONTHLY STATS'!$K$60*0.21</f>
        <v>1309089.7596</v>
      </c>
      <c r="I34" s="90">
        <f>'MONTHLY STATS'!$K$68*0.21</f>
        <v>2563859.676</v>
      </c>
      <c r="J34" s="90">
        <f>'MONTHLY STATS'!$K$76*0.21</f>
        <v>3396586.9644</v>
      </c>
      <c r="K34" s="90">
        <f>'MONTHLY STATS'!$K$84*0.21</f>
        <v>3532803.7857000004</v>
      </c>
      <c r="L34" s="90">
        <f>'MONTHLY STATS'!$K$92*0.21</f>
        <v>609043.4427</v>
      </c>
      <c r="M34" s="90">
        <f>'MONTHLY STATS'!$K$100*0.21</f>
        <v>4244752.3503</v>
      </c>
      <c r="N34" s="90">
        <f>'MONTHLY STATS'!$K$108*0.21</f>
        <v>650364.3804</v>
      </c>
      <c r="O34" s="91">
        <f>SUM(B34:N34)</f>
        <v>28224476.111999996</v>
      </c>
      <c r="P34" s="84"/>
    </row>
    <row r="35" spans="1:16" ht="15.75">
      <c r="A35" s="89">
        <f>DATE(2013,11,1)</f>
        <v>41579</v>
      </c>
      <c r="B35" s="90">
        <f>'MONTHLY STATS'!$K$13*0.21</f>
        <v>2457190.5245999997</v>
      </c>
      <c r="C35" s="90">
        <f>'MONTHLY STATS'!$K$21*0.21</f>
        <v>1400132.1852</v>
      </c>
      <c r="D35" s="90">
        <f>'MONTHLY STATS'!$K$29*0.21</f>
        <v>509314.3251</v>
      </c>
      <c r="E35" s="90">
        <f>'MONTHLY STATS'!$K$37*0.21</f>
        <v>3681167.4122999995</v>
      </c>
      <c r="F35" s="90">
        <f>'MONTHLY STATS'!$K$45*0.21</f>
        <v>3279480.4098</v>
      </c>
      <c r="G35" s="90">
        <f>'MONTHLY STATS'!$K$53*0.21</f>
        <v>980615.7459</v>
      </c>
      <c r="H35" s="90">
        <f>'MONTHLY STATS'!$K$61*0.21</f>
        <v>1265493.1820999999</v>
      </c>
      <c r="I35" s="90">
        <f>'MONTHLY STATS'!$K$69*0.21</f>
        <v>2376117.8469000002</v>
      </c>
      <c r="J35" s="90">
        <f>'MONTHLY STATS'!$K$77*0.21</f>
        <v>3450084.4812</v>
      </c>
      <c r="K35" s="90">
        <f>'MONTHLY STATS'!$K$85*0.21</f>
        <v>3905715.5319</v>
      </c>
      <c r="L35" s="90">
        <f>'MONTHLY STATS'!$K$93*0.21</f>
        <v>666094.7727</v>
      </c>
      <c r="M35" s="90">
        <f>'MONTHLY STATS'!$K$101*0.21</f>
        <v>4534918.6953</v>
      </c>
      <c r="N35" s="90">
        <f>'MONTHLY STATS'!$K$109*0.21</f>
        <v>615496.3037999999</v>
      </c>
      <c r="O35" s="91">
        <f>SUM(B35:N35)</f>
        <v>29121821.4168</v>
      </c>
      <c r="P35" s="84"/>
    </row>
    <row r="36" spans="1:16" ht="15.75">
      <c r="A36" s="89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84"/>
    </row>
    <row r="37" spans="1:16" ht="15.75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1"/>
      <c r="P37" s="84"/>
    </row>
    <row r="38" spans="1:16" ht="15.75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1"/>
      <c r="P38" s="84"/>
    </row>
    <row r="39" spans="1:16" ht="15.75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1"/>
      <c r="P39" s="84"/>
    </row>
    <row r="40" spans="1:16" ht="15.75">
      <c r="A40" s="89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1"/>
      <c r="P40" s="84"/>
    </row>
    <row r="41" spans="1:16" ht="15.75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1"/>
      <c r="P41" s="84"/>
    </row>
    <row r="42" spans="1:16" ht="15.75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1"/>
      <c r="P42" s="84"/>
    </row>
    <row r="43" spans="1:16" ht="15.75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1"/>
      <c r="P43" s="84"/>
    </row>
    <row r="44" spans="1:16" ht="15.75">
      <c r="A44" s="92" t="s">
        <v>29</v>
      </c>
      <c r="B44" s="91">
        <f aca="true" t="shared" si="1" ref="B44:O44">SUM(B31:B42)</f>
        <v>12460506.615899999</v>
      </c>
      <c r="C44" s="91">
        <f t="shared" si="1"/>
        <v>6971001.006899999</v>
      </c>
      <c r="D44" s="91">
        <f t="shared" si="1"/>
        <v>2695441.6146</v>
      </c>
      <c r="E44" s="91">
        <f t="shared" si="1"/>
        <v>19663040.6133</v>
      </c>
      <c r="F44" s="91">
        <f t="shared" si="1"/>
        <v>15909269.3592</v>
      </c>
      <c r="G44" s="91">
        <f t="shared" si="1"/>
        <v>4946742.4524</v>
      </c>
      <c r="H44" s="91">
        <f t="shared" si="1"/>
        <v>6614033.9496</v>
      </c>
      <c r="I44" s="91">
        <f>SUM(I31:I42)</f>
        <v>12495563.022600003</v>
      </c>
      <c r="J44" s="91">
        <f t="shared" si="1"/>
        <v>17586515.931599997</v>
      </c>
      <c r="K44" s="91">
        <f>SUM(K31:K42)</f>
        <v>18294805.536</v>
      </c>
      <c r="L44" s="91">
        <f t="shared" si="1"/>
        <v>3144108.6348</v>
      </c>
      <c r="M44" s="91">
        <f t="shared" si="1"/>
        <v>22207320.8028</v>
      </c>
      <c r="N44" s="91">
        <f t="shared" si="1"/>
        <v>3195549.7517999997</v>
      </c>
      <c r="O44" s="91">
        <f t="shared" si="1"/>
        <v>146183899.2915</v>
      </c>
      <c r="P44" s="84"/>
    </row>
    <row r="45" spans="1:16" ht="16.5" thickBot="1">
      <c r="A45" s="93"/>
      <c r="B45" s="91"/>
      <c r="C45" s="91"/>
      <c r="D45" s="91"/>
      <c r="E45" s="90"/>
      <c r="F45" s="90"/>
      <c r="G45" s="90"/>
      <c r="H45" s="90"/>
      <c r="I45" s="90"/>
      <c r="J45" s="91"/>
      <c r="K45" s="91"/>
      <c r="L45" s="91"/>
      <c r="M45" s="91"/>
      <c r="N45" s="91"/>
      <c r="O45" s="91"/>
      <c r="P45" s="84"/>
    </row>
    <row r="46" spans="1:15" ht="15.75" thickTop="1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</row>
    <row r="47" spans="1:15" ht="15.75">
      <c r="A47" s="279" t="s">
        <v>65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</row>
    <row r="48" spans="1:15" ht="15.75">
      <c r="A48" s="259" t="s">
        <v>72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</row>
    <row r="49" spans="1:9" ht="15.75">
      <c r="A49" s="116" t="s">
        <v>31</v>
      </c>
      <c r="B49" s="99"/>
      <c r="C49" s="99"/>
      <c r="D49" s="99"/>
      <c r="E49" s="99"/>
      <c r="F49" s="99"/>
      <c r="G49" s="99"/>
      <c r="H49" s="99"/>
      <c r="I49" s="99"/>
    </row>
    <row r="50" spans="1:9" ht="15.75">
      <c r="A50" s="116"/>
      <c r="B50" s="99"/>
      <c r="C50" s="99"/>
      <c r="D50" s="99"/>
      <c r="E50" s="99"/>
      <c r="F50" s="99"/>
      <c r="G50" s="99"/>
      <c r="H50" s="99"/>
      <c r="I50" s="99"/>
    </row>
    <row r="51" ht="15.75">
      <c r="A51" s="73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0"/>
  <sheetViews>
    <sheetView showOutlineSymbols="0" zoomScalePageLayoutView="0" workbookViewId="0" topLeftCell="A1">
      <selection activeCell="A1" sqref="A1"/>
    </sheetView>
  </sheetViews>
  <sheetFormatPr defaultColWidth="9.6640625" defaultRowHeight="15"/>
  <cols>
    <col min="1" max="1" width="27.6640625" style="119" customWidth="1"/>
    <col min="2" max="2" width="9.6640625" style="119" customWidth="1"/>
    <col min="3" max="3" width="16.6640625" style="212" customWidth="1"/>
    <col min="4" max="5" width="15.6640625" style="212" customWidth="1"/>
    <col min="6" max="6" width="9.6640625" style="119" customWidth="1"/>
    <col min="7" max="7" width="10.5546875" style="224" customWidth="1"/>
    <col min="8" max="16384" width="9.6640625" style="119" customWidth="1"/>
  </cols>
  <sheetData>
    <row r="1" spans="1:7" ht="18">
      <c r="A1" s="117" t="s">
        <v>0</v>
      </c>
      <c r="B1" s="118"/>
      <c r="C1" s="203"/>
      <c r="D1" s="203"/>
      <c r="E1" s="203"/>
      <c r="F1" s="118"/>
      <c r="G1" s="213"/>
    </row>
    <row r="2" spans="1:7" ht="18" customHeight="1">
      <c r="A2" s="120" t="s">
        <v>32</v>
      </c>
      <c r="B2" s="118"/>
      <c r="C2" s="203"/>
      <c r="D2" s="203"/>
      <c r="E2" s="203"/>
      <c r="F2" s="118"/>
      <c r="G2" s="213"/>
    </row>
    <row r="3" spans="1:7" ht="18" customHeight="1">
      <c r="A3" s="117" t="s">
        <v>78</v>
      </c>
      <c r="B3" s="118"/>
      <c r="C3" s="203"/>
      <c r="D3" s="203"/>
      <c r="E3" s="203"/>
      <c r="F3" s="118"/>
      <c r="G3" s="213"/>
    </row>
    <row r="4" spans="1:7" ht="15">
      <c r="A4" s="121" t="s">
        <v>79</v>
      </c>
      <c r="B4" s="118"/>
      <c r="C4" s="203"/>
      <c r="D4" s="203"/>
      <c r="E4" s="203"/>
      <c r="F4" s="118"/>
      <c r="G4" s="213"/>
    </row>
    <row r="5" spans="1:7" ht="15.75">
      <c r="A5" s="118"/>
      <c r="B5" s="118"/>
      <c r="C5" s="203"/>
      <c r="D5" s="203"/>
      <c r="E5" s="203"/>
      <c r="F5" s="118"/>
      <c r="G5" s="214" t="s">
        <v>1</v>
      </c>
    </row>
    <row r="6" spans="1:8" ht="16.5" thickTop="1">
      <c r="A6" s="122"/>
      <c r="B6" s="123" t="s">
        <v>2</v>
      </c>
      <c r="C6" s="204" t="s">
        <v>33</v>
      </c>
      <c r="D6" s="204" t="s">
        <v>33</v>
      </c>
      <c r="E6" s="204" t="s">
        <v>3</v>
      </c>
      <c r="F6" s="124"/>
      <c r="G6" s="215" t="s">
        <v>34</v>
      </c>
      <c r="H6" s="125"/>
    </row>
    <row r="7" spans="1:8" ht="16.5" thickBot="1">
      <c r="A7" s="126" t="s">
        <v>5</v>
      </c>
      <c r="B7" s="127" t="s">
        <v>6</v>
      </c>
      <c r="C7" s="267" t="s">
        <v>35</v>
      </c>
      <c r="D7" s="205" t="s">
        <v>36</v>
      </c>
      <c r="E7" s="205" t="s">
        <v>36</v>
      </c>
      <c r="F7" s="128" t="s">
        <v>8</v>
      </c>
      <c r="G7" s="216" t="s">
        <v>37</v>
      </c>
      <c r="H7" s="125"/>
    </row>
    <row r="8" spans="1:8" ht="15.75" customHeight="1" thickTop="1">
      <c r="A8" s="129"/>
      <c r="B8" s="130"/>
      <c r="C8" s="206"/>
      <c r="D8" s="206"/>
      <c r="E8" s="206"/>
      <c r="F8" s="131"/>
      <c r="G8" s="217"/>
      <c r="H8" s="125"/>
    </row>
    <row r="9" spans="1:8" ht="15.75">
      <c r="A9" s="132" t="s">
        <v>38</v>
      </c>
      <c r="B9" s="133">
        <f>DATE(2013,7,1)</f>
        <v>41456</v>
      </c>
      <c r="C9" s="207">
        <v>5473265</v>
      </c>
      <c r="D9" s="207">
        <v>979631</v>
      </c>
      <c r="E9" s="207">
        <v>1142785.75</v>
      </c>
      <c r="F9" s="134">
        <f>(+D9-E9)/E9</f>
        <v>-0.14276932487126306</v>
      </c>
      <c r="G9" s="218">
        <f>D9/C9</f>
        <v>0.17898475589981483</v>
      </c>
      <c r="H9" s="125"/>
    </row>
    <row r="10" spans="1:8" ht="15.75">
      <c r="A10" s="132"/>
      <c r="B10" s="133">
        <f>DATE(2013,8,1)</f>
        <v>41487</v>
      </c>
      <c r="C10" s="207">
        <v>5562163</v>
      </c>
      <c r="D10" s="207">
        <v>1015141.56</v>
      </c>
      <c r="E10" s="207">
        <v>1154857.33</v>
      </c>
      <c r="F10" s="134">
        <f>(+D10-E10)/E10</f>
        <v>-0.12098097866339906</v>
      </c>
      <c r="G10" s="218">
        <f>D10/C10</f>
        <v>0.18250841624022884</v>
      </c>
      <c r="H10" s="125"/>
    </row>
    <row r="11" spans="1:8" ht="15.75">
      <c r="A11" s="132"/>
      <c r="B11" s="133">
        <f>DATE(2013,9,1)</f>
        <v>41518</v>
      </c>
      <c r="C11" s="207">
        <v>4965177</v>
      </c>
      <c r="D11" s="207">
        <v>1019087.22</v>
      </c>
      <c r="E11" s="207">
        <v>1180785.38</v>
      </c>
      <c r="F11" s="134">
        <f>(+D11-E11)/E11</f>
        <v>-0.13694119417366088</v>
      </c>
      <c r="G11" s="218">
        <f>D11/C11</f>
        <v>0.20524690660574638</v>
      </c>
      <c r="H11" s="125"/>
    </row>
    <row r="12" spans="1:8" ht="15.75">
      <c r="A12" s="132"/>
      <c r="B12" s="133">
        <f>DATE(2013,10,1)</f>
        <v>41548</v>
      </c>
      <c r="C12" s="207">
        <v>4954853.5</v>
      </c>
      <c r="D12" s="207">
        <v>928648.96</v>
      </c>
      <c r="E12" s="207">
        <v>1135654.05</v>
      </c>
      <c r="F12" s="134">
        <f>(+D12-E12)/E12</f>
        <v>-0.18227830033274664</v>
      </c>
      <c r="G12" s="218">
        <f>D12/C12</f>
        <v>0.18742208220687048</v>
      </c>
      <c r="H12" s="125"/>
    </row>
    <row r="13" spans="1:8" ht="15.75">
      <c r="A13" s="132"/>
      <c r="B13" s="133">
        <f>DATE(2013,11,1)</f>
        <v>41579</v>
      </c>
      <c r="C13" s="207">
        <v>5487075</v>
      </c>
      <c r="D13" s="207">
        <v>1032691.58</v>
      </c>
      <c r="E13" s="207">
        <v>846980.18</v>
      </c>
      <c r="F13" s="134">
        <f>(+D13-E13)/E13</f>
        <v>0.21926298204522318</v>
      </c>
      <c r="G13" s="218">
        <f>D13/C13</f>
        <v>0.188204385761084</v>
      </c>
      <c r="H13" s="125"/>
    </row>
    <row r="14" spans="1:8" ht="15.75" thickBot="1">
      <c r="A14" s="135"/>
      <c r="B14" s="136"/>
      <c r="C14" s="207"/>
      <c r="D14" s="207"/>
      <c r="E14" s="207"/>
      <c r="F14" s="134"/>
      <c r="G14" s="218"/>
      <c r="H14" s="125"/>
    </row>
    <row r="15" spans="1:8" ht="17.25" thickBot="1" thickTop="1">
      <c r="A15" s="137" t="s">
        <v>14</v>
      </c>
      <c r="B15" s="138"/>
      <c r="C15" s="204">
        <f>SUM(C9:C14)</f>
        <v>26442533.5</v>
      </c>
      <c r="D15" s="204">
        <f>SUM(D9:D14)</f>
        <v>4975200.32</v>
      </c>
      <c r="E15" s="204">
        <f>SUM(E9:E14)</f>
        <v>5461062.6899999995</v>
      </c>
      <c r="F15" s="139">
        <f>(+D15-E15)/E15</f>
        <v>-0.08896846595254874</v>
      </c>
      <c r="G15" s="215">
        <f>D15/C15</f>
        <v>0.18815142353889805</v>
      </c>
      <c r="H15" s="125"/>
    </row>
    <row r="16" spans="1:8" ht="15.75" customHeight="1" thickTop="1">
      <c r="A16" s="140"/>
      <c r="B16" s="141"/>
      <c r="C16" s="208"/>
      <c r="D16" s="208"/>
      <c r="E16" s="208"/>
      <c r="F16" s="142"/>
      <c r="G16" s="219"/>
      <c r="H16" s="125"/>
    </row>
    <row r="17" spans="1:8" ht="15.75">
      <c r="A17" s="19" t="s">
        <v>15</v>
      </c>
      <c r="B17" s="133">
        <f>DATE(2013,7,1)</f>
        <v>41456</v>
      </c>
      <c r="C17" s="207">
        <v>2407779</v>
      </c>
      <c r="D17" s="207">
        <v>473986</v>
      </c>
      <c r="E17" s="207">
        <v>472394.5</v>
      </c>
      <c r="F17" s="134">
        <f>(+D17-E17)/E17</f>
        <v>0.0033690062013846476</v>
      </c>
      <c r="G17" s="218">
        <f>D17/C17</f>
        <v>0.19685610681046725</v>
      </c>
      <c r="H17" s="125"/>
    </row>
    <row r="18" spans="1:8" ht="15.75">
      <c r="A18" s="19"/>
      <c r="B18" s="133">
        <f>DATE(2013,8,1)</f>
        <v>41487</v>
      </c>
      <c r="C18" s="207">
        <v>2513012</v>
      </c>
      <c r="D18" s="207">
        <v>630118</v>
      </c>
      <c r="E18" s="207">
        <v>521375</v>
      </c>
      <c r="F18" s="134">
        <f>(+D18-E18)/E18</f>
        <v>0.20856964756653082</v>
      </c>
      <c r="G18" s="218">
        <f>D18/C18</f>
        <v>0.2507421373236578</v>
      </c>
      <c r="H18" s="125"/>
    </row>
    <row r="19" spans="1:8" ht="15.75">
      <c r="A19" s="19"/>
      <c r="B19" s="133">
        <f>DATE(2013,9,1)</f>
        <v>41518</v>
      </c>
      <c r="C19" s="207">
        <v>2384634</v>
      </c>
      <c r="D19" s="207">
        <v>539966</v>
      </c>
      <c r="E19" s="207">
        <v>467780.5</v>
      </c>
      <c r="F19" s="134">
        <f>(+D19-E19)/E19</f>
        <v>0.15431489769240062</v>
      </c>
      <c r="G19" s="218">
        <f>D19/C19</f>
        <v>0.22643558718025492</v>
      </c>
      <c r="H19" s="125"/>
    </row>
    <row r="20" spans="1:8" ht="15.75">
      <c r="A20" s="19"/>
      <c r="B20" s="133">
        <f>DATE(2013,10,1)</f>
        <v>41548</v>
      </c>
      <c r="C20" s="207">
        <v>2401557.38</v>
      </c>
      <c r="D20" s="207">
        <v>476110.5</v>
      </c>
      <c r="E20" s="207">
        <v>544397</v>
      </c>
      <c r="F20" s="134">
        <f>(+D20-E20)/E20</f>
        <v>-0.1254351144477284</v>
      </c>
      <c r="G20" s="218">
        <f>D20/C20</f>
        <v>0.19825072845021927</v>
      </c>
      <c r="H20" s="125"/>
    </row>
    <row r="21" spans="1:8" ht="15.75">
      <c r="A21" s="19"/>
      <c r="B21" s="133">
        <f>DATE(2013,11,1)</f>
        <v>41579</v>
      </c>
      <c r="C21" s="207">
        <v>2361822</v>
      </c>
      <c r="D21" s="207">
        <v>469818.5</v>
      </c>
      <c r="E21" s="207">
        <v>516150.5</v>
      </c>
      <c r="F21" s="134">
        <f>(+D21-E21)/E21</f>
        <v>-0.08976451635714777</v>
      </c>
      <c r="G21" s="218">
        <f>D21/C21</f>
        <v>0.19892206101899296</v>
      </c>
      <c r="H21" s="125"/>
    </row>
    <row r="22" spans="1:8" ht="15.75" thickBot="1">
      <c r="A22" s="135"/>
      <c r="B22" s="133"/>
      <c r="C22" s="207"/>
      <c r="D22" s="207"/>
      <c r="E22" s="207"/>
      <c r="F22" s="134"/>
      <c r="G22" s="218"/>
      <c r="H22" s="125"/>
    </row>
    <row r="23" spans="1:8" ht="17.25" thickBot="1" thickTop="1">
      <c r="A23" s="137" t="s">
        <v>14</v>
      </c>
      <c r="B23" s="138"/>
      <c r="C23" s="204">
        <f>SUM(C17:C22)</f>
        <v>12068804.379999999</v>
      </c>
      <c r="D23" s="204">
        <f>SUM(D17:D22)</f>
        <v>2589999</v>
      </c>
      <c r="E23" s="204">
        <f>SUM(E17:E22)</f>
        <v>2522097.5</v>
      </c>
      <c r="F23" s="139">
        <f>(+D23-E23)/E23</f>
        <v>0.026922630865777394</v>
      </c>
      <c r="G23" s="215">
        <f>D23/C23</f>
        <v>0.21460278238431438</v>
      </c>
      <c r="H23" s="125"/>
    </row>
    <row r="24" spans="1:8" ht="15.75" customHeight="1" thickTop="1">
      <c r="A24" s="258"/>
      <c r="B24" s="141"/>
      <c r="C24" s="208"/>
      <c r="D24" s="208"/>
      <c r="E24" s="208"/>
      <c r="F24" s="142"/>
      <c r="G24" s="222"/>
      <c r="H24" s="125"/>
    </row>
    <row r="25" spans="1:8" ht="15.75">
      <c r="A25" s="19" t="s">
        <v>56</v>
      </c>
      <c r="B25" s="133">
        <f>DATE(2013,7,1)</f>
        <v>41456</v>
      </c>
      <c r="C25" s="207">
        <v>1184027</v>
      </c>
      <c r="D25" s="207">
        <v>327537.5</v>
      </c>
      <c r="E25" s="207">
        <v>332537.5</v>
      </c>
      <c r="F25" s="134">
        <f>(+D25-E25)/E25</f>
        <v>-0.015035898206969139</v>
      </c>
      <c r="G25" s="218">
        <f>D25/C25</f>
        <v>0.27663009373941644</v>
      </c>
      <c r="H25" s="125"/>
    </row>
    <row r="26" spans="1:8" ht="15.75">
      <c r="A26" s="19"/>
      <c r="B26" s="133">
        <f>DATE(2013,8,1)</f>
        <v>41487</v>
      </c>
      <c r="C26" s="207">
        <v>1027663</v>
      </c>
      <c r="D26" s="207">
        <v>291070.5</v>
      </c>
      <c r="E26" s="207">
        <v>373229</v>
      </c>
      <c r="F26" s="134">
        <f>(+D26-E26)/E26</f>
        <v>-0.2201289288881625</v>
      </c>
      <c r="G26" s="218">
        <f>D26/C26</f>
        <v>0.28323536022995865</v>
      </c>
      <c r="H26" s="125"/>
    </row>
    <row r="27" spans="1:8" ht="15.75">
      <c r="A27" s="19"/>
      <c r="B27" s="133">
        <f>DATE(2013,9,1)</f>
        <v>41518</v>
      </c>
      <c r="C27" s="207">
        <v>909098</v>
      </c>
      <c r="D27" s="207">
        <v>327340.5</v>
      </c>
      <c r="E27" s="207">
        <v>280061.5</v>
      </c>
      <c r="F27" s="134">
        <f>(+D27-E27)/E27</f>
        <v>0.16881649209191552</v>
      </c>
      <c r="G27" s="218">
        <f>D27/C27</f>
        <v>0.36007174144041676</v>
      </c>
      <c r="H27" s="125"/>
    </row>
    <row r="28" spans="1:8" ht="15.75">
      <c r="A28" s="19"/>
      <c r="B28" s="133">
        <f>DATE(2013,10,1)</f>
        <v>41548</v>
      </c>
      <c r="C28" s="207">
        <v>851045</v>
      </c>
      <c r="D28" s="207">
        <v>282941</v>
      </c>
      <c r="E28" s="207">
        <v>272105</v>
      </c>
      <c r="F28" s="134">
        <f>(+D28-E28)/E28</f>
        <v>0.039822862497932786</v>
      </c>
      <c r="G28" s="218">
        <f>D28/C28</f>
        <v>0.33246303074455524</v>
      </c>
      <c r="H28" s="125"/>
    </row>
    <row r="29" spans="1:8" ht="15.75">
      <c r="A29" s="19"/>
      <c r="B29" s="133">
        <f>DATE(2013,11,1)</f>
        <v>41579</v>
      </c>
      <c r="C29" s="207">
        <v>1062125</v>
      </c>
      <c r="D29" s="207">
        <v>255459</v>
      </c>
      <c r="E29" s="207">
        <v>282071.5</v>
      </c>
      <c r="F29" s="134">
        <f>(+D29-E29)/E29</f>
        <v>-0.09434664615177357</v>
      </c>
      <c r="G29" s="218">
        <f>D29/C29</f>
        <v>0.24051688831352241</v>
      </c>
      <c r="H29" s="125"/>
    </row>
    <row r="30" spans="1:8" ht="15.75" thickBot="1">
      <c r="A30" s="135"/>
      <c r="B30" s="133"/>
      <c r="C30" s="207"/>
      <c r="D30" s="207"/>
      <c r="E30" s="207"/>
      <c r="F30" s="134"/>
      <c r="G30" s="218"/>
      <c r="H30" s="125"/>
    </row>
    <row r="31" spans="1:8" ht="17.25" thickBot="1" thickTop="1">
      <c r="A31" s="143" t="s">
        <v>14</v>
      </c>
      <c r="B31" s="144"/>
      <c r="C31" s="209">
        <f>SUM(C25:C30)</f>
        <v>5033958</v>
      </c>
      <c r="D31" s="209">
        <f>SUM(D25:D30)</f>
        <v>1484348.5</v>
      </c>
      <c r="E31" s="209">
        <f>SUM(E25:E30)</f>
        <v>1540004.5</v>
      </c>
      <c r="F31" s="145">
        <f>(+D31-E31)/E31</f>
        <v>-0.03614015413591324</v>
      </c>
      <c r="G31" s="220">
        <f>D31/C31</f>
        <v>0.2948670807344837</v>
      </c>
      <c r="H31" s="125"/>
    </row>
    <row r="32" spans="1:8" ht="15.75" thickTop="1">
      <c r="A32" s="135"/>
      <c r="B32" s="136"/>
      <c r="C32" s="207"/>
      <c r="D32" s="207"/>
      <c r="E32" s="207"/>
      <c r="F32" s="134"/>
      <c r="G32" s="221"/>
      <c r="H32" s="125"/>
    </row>
    <row r="33" spans="1:8" ht="15.75">
      <c r="A33" s="180" t="s">
        <v>74</v>
      </c>
      <c r="B33" s="133">
        <f>DATE(2013,7,1)</f>
        <v>41456</v>
      </c>
      <c r="C33" s="207">
        <v>12903826</v>
      </c>
      <c r="D33" s="207">
        <v>2879949.68</v>
      </c>
      <c r="E33" s="207">
        <v>3547727.46</v>
      </c>
      <c r="F33" s="134">
        <f>(+D33-E33)/E33</f>
        <v>-0.18822691075599132</v>
      </c>
      <c r="G33" s="218">
        <f>D33/C33</f>
        <v>0.22318571871629392</v>
      </c>
      <c r="H33" s="125"/>
    </row>
    <row r="34" spans="1:8" ht="15.75">
      <c r="A34" s="180"/>
      <c r="B34" s="133">
        <f>DATE(2013,8,1)</f>
        <v>41487</v>
      </c>
      <c r="C34" s="207">
        <v>12820066</v>
      </c>
      <c r="D34" s="207">
        <v>2484831.68</v>
      </c>
      <c r="E34" s="207">
        <v>2611181.79</v>
      </c>
      <c r="F34" s="134">
        <f>(+D34-E34)/E34</f>
        <v>-0.048388094036149</v>
      </c>
      <c r="G34" s="218">
        <f>D34/C34</f>
        <v>0.19382362618101967</v>
      </c>
      <c r="H34" s="125"/>
    </row>
    <row r="35" spans="1:8" ht="15.75">
      <c r="A35" s="180"/>
      <c r="B35" s="133">
        <f>DATE(2013,9,1)</f>
        <v>41518</v>
      </c>
      <c r="C35" s="207">
        <v>12113708</v>
      </c>
      <c r="D35" s="207">
        <v>2818834.5</v>
      </c>
      <c r="E35" s="207">
        <v>3424627.93</v>
      </c>
      <c r="F35" s="134">
        <f>(+D35-E35)/E35</f>
        <v>-0.17689321070274636</v>
      </c>
      <c r="G35" s="218">
        <f>D35/C35</f>
        <v>0.23269790719736683</v>
      </c>
      <c r="H35" s="125"/>
    </row>
    <row r="36" spans="1:8" ht="15.75">
      <c r="A36" s="180"/>
      <c r="B36" s="133">
        <f>DATE(2013,10,1)</f>
        <v>41548</v>
      </c>
      <c r="C36" s="207">
        <v>11903592</v>
      </c>
      <c r="D36" s="207">
        <v>2363858.13</v>
      </c>
      <c r="E36" s="207">
        <v>2849439.11</v>
      </c>
      <c r="F36" s="134">
        <f>(+D36-E36)/E36</f>
        <v>-0.17041282907077104</v>
      </c>
      <c r="G36" s="218">
        <f>D36/C36</f>
        <v>0.19858359812735515</v>
      </c>
      <c r="H36" s="125"/>
    </row>
    <row r="37" spans="1:8" ht="15.75">
      <c r="A37" s="180"/>
      <c r="B37" s="133">
        <f>DATE(2013,11,1)</f>
        <v>41579</v>
      </c>
      <c r="C37" s="207">
        <v>12161624.16</v>
      </c>
      <c r="D37" s="207">
        <v>2362551.5</v>
      </c>
      <c r="E37" s="207">
        <f>2682687.19+89676.5</f>
        <v>2772363.69</v>
      </c>
      <c r="F37" s="134">
        <f>(+D37-E37)/E37</f>
        <v>-0.14782050114067102</v>
      </c>
      <c r="G37" s="218">
        <f>D37/C37</f>
        <v>0.19426282780309173</v>
      </c>
      <c r="H37" s="125"/>
    </row>
    <row r="38" spans="1:8" ht="15.75" customHeight="1" thickBot="1">
      <c r="A38" s="135"/>
      <c r="B38" s="136"/>
      <c r="C38" s="207"/>
      <c r="D38" s="207"/>
      <c r="E38" s="207"/>
      <c r="F38" s="134"/>
      <c r="G38" s="218"/>
      <c r="H38" s="125"/>
    </row>
    <row r="39" spans="1:8" ht="17.25" customHeight="1" thickBot="1" thickTop="1">
      <c r="A39" s="143" t="s">
        <v>14</v>
      </c>
      <c r="B39" s="144"/>
      <c r="C39" s="209">
        <f>SUM(C33:C38)</f>
        <v>61902816.16</v>
      </c>
      <c r="D39" s="209">
        <f>SUM(D33:D38)</f>
        <v>12910025.49</v>
      </c>
      <c r="E39" s="209">
        <f>SUM(E33:E38)</f>
        <v>15205339.979999999</v>
      </c>
      <c r="F39" s="145">
        <f>(+D39-E39)/E39</f>
        <v>-0.1509544997362169</v>
      </c>
      <c r="G39" s="220">
        <f>D39/C39</f>
        <v>0.20855312069537357</v>
      </c>
      <c r="H39" s="125"/>
    </row>
    <row r="40" spans="1:8" ht="15.75" customHeight="1" thickTop="1">
      <c r="A40" s="135"/>
      <c r="B40" s="136"/>
      <c r="C40" s="207"/>
      <c r="D40" s="207"/>
      <c r="E40" s="207"/>
      <c r="F40" s="134"/>
      <c r="G40" s="221"/>
      <c r="H40" s="125"/>
    </row>
    <row r="41" spans="1:8" ht="15" customHeight="1">
      <c r="A41" s="132" t="s">
        <v>39</v>
      </c>
      <c r="B41" s="133">
        <f>DATE(2013,7,1)</f>
        <v>41456</v>
      </c>
      <c r="C41" s="207">
        <v>11278343.05</v>
      </c>
      <c r="D41" s="207">
        <v>2762564.05</v>
      </c>
      <c r="E41" s="207">
        <v>3113904.75</v>
      </c>
      <c r="F41" s="134">
        <f>(+D41-E41)/E41</f>
        <v>-0.11282962332100883</v>
      </c>
      <c r="G41" s="218">
        <f>D41/C41</f>
        <v>0.24494414097467976</v>
      </c>
      <c r="H41" s="125"/>
    </row>
    <row r="42" spans="1:8" ht="15" customHeight="1">
      <c r="A42" s="132"/>
      <c r="B42" s="133">
        <f>DATE(2013,8,1)</f>
        <v>41487</v>
      </c>
      <c r="C42" s="207">
        <v>11244580</v>
      </c>
      <c r="D42" s="207">
        <v>2695314.5</v>
      </c>
      <c r="E42" s="207">
        <v>2533178.5</v>
      </c>
      <c r="F42" s="134">
        <f>(+D42-E42)/E42</f>
        <v>0.06400496451394957</v>
      </c>
      <c r="G42" s="218">
        <f>D42/C42</f>
        <v>0.2396989927591782</v>
      </c>
      <c r="H42" s="125"/>
    </row>
    <row r="43" spans="1:8" ht="15" customHeight="1">
      <c r="A43" s="132"/>
      <c r="B43" s="133">
        <f>DATE(2013,9,1)</f>
        <v>41518</v>
      </c>
      <c r="C43" s="207">
        <v>11089418.5</v>
      </c>
      <c r="D43" s="207">
        <v>2489578</v>
      </c>
      <c r="E43" s="207">
        <v>2230775</v>
      </c>
      <c r="F43" s="134">
        <f>(+D43-E43)/E43</f>
        <v>0.11601483789266062</v>
      </c>
      <c r="G43" s="218">
        <f>D43/C43</f>
        <v>0.22450031983191904</v>
      </c>
      <c r="H43" s="125"/>
    </row>
    <row r="44" spans="1:8" ht="15" customHeight="1">
      <c r="A44" s="132"/>
      <c r="B44" s="133">
        <f>DATE(2013,10,1)</f>
        <v>41548</v>
      </c>
      <c r="C44" s="207">
        <v>11812078.01</v>
      </c>
      <c r="D44" s="207">
        <v>3396011.51</v>
      </c>
      <c r="E44" s="207">
        <v>2521904.5</v>
      </c>
      <c r="F44" s="134">
        <f>(+D44-E44)/E44</f>
        <v>0.3466059123174568</v>
      </c>
      <c r="G44" s="218">
        <f>D44/C44</f>
        <v>0.2875033086578811</v>
      </c>
      <c r="H44" s="125"/>
    </row>
    <row r="45" spans="1:8" ht="15" customHeight="1">
      <c r="A45" s="132"/>
      <c r="B45" s="133">
        <f>DATE(2013,11,1)</f>
        <v>41579</v>
      </c>
      <c r="C45" s="207">
        <v>12370525</v>
      </c>
      <c r="D45" s="207">
        <v>3253002.5</v>
      </c>
      <c r="E45" s="207">
        <v>2219090.75</v>
      </c>
      <c r="F45" s="134">
        <f>(+D45-E45)/E45</f>
        <v>0.4659168400391016</v>
      </c>
      <c r="G45" s="218">
        <f>D45/C45</f>
        <v>0.26296398091431045</v>
      </c>
      <c r="H45" s="125"/>
    </row>
    <row r="46" spans="1:8" ht="15.75" thickBot="1">
      <c r="A46" s="135"/>
      <c r="B46" s="133"/>
      <c r="C46" s="207"/>
      <c r="D46" s="207"/>
      <c r="E46" s="207"/>
      <c r="F46" s="134"/>
      <c r="G46" s="218"/>
      <c r="H46" s="125"/>
    </row>
    <row r="47" spans="1:8" ht="17.25" customHeight="1" thickBot="1" thickTop="1">
      <c r="A47" s="143" t="s">
        <v>14</v>
      </c>
      <c r="B47" s="144"/>
      <c r="C47" s="210">
        <f>SUM(C41:C46)</f>
        <v>57794944.559999995</v>
      </c>
      <c r="D47" s="266">
        <f>SUM(D41:D46)</f>
        <v>14596470.559999999</v>
      </c>
      <c r="E47" s="209">
        <f>SUM(E41:E46)</f>
        <v>12618853.5</v>
      </c>
      <c r="F47" s="273">
        <f>(+D47-E47)/E47</f>
        <v>0.15671923443758173</v>
      </c>
      <c r="G47" s="272">
        <f>D47/C47</f>
        <v>0.25255618239838656</v>
      </c>
      <c r="H47" s="125"/>
    </row>
    <row r="48" spans="1:8" ht="15.75" customHeight="1" thickTop="1">
      <c r="A48" s="132"/>
      <c r="B48" s="136"/>
      <c r="C48" s="207"/>
      <c r="D48" s="207"/>
      <c r="E48" s="207"/>
      <c r="F48" s="134"/>
      <c r="G48" s="221"/>
      <c r="H48" s="125"/>
    </row>
    <row r="49" spans="1:8" ht="15.75">
      <c r="A49" s="132" t="s">
        <v>64</v>
      </c>
      <c r="B49" s="133">
        <f>DATE(2013,7,1)</f>
        <v>41456</v>
      </c>
      <c r="C49" s="207">
        <v>2647901</v>
      </c>
      <c r="D49" s="207">
        <v>576221.5</v>
      </c>
      <c r="E49" s="207">
        <v>0</v>
      </c>
      <c r="F49" s="134">
        <v>1</v>
      </c>
      <c r="G49" s="218">
        <f>D49/C49</f>
        <v>0.21761444253391649</v>
      </c>
      <c r="H49" s="125"/>
    </row>
    <row r="50" spans="1:8" ht="15.75">
      <c r="A50" s="132"/>
      <c r="B50" s="133">
        <f>DATE(2013,8,1)</f>
        <v>41487</v>
      </c>
      <c r="C50" s="207">
        <v>2705347</v>
      </c>
      <c r="D50" s="207">
        <v>484224</v>
      </c>
      <c r="E50" s="207">
        <v>0</v>
      </c>
      <c r="F50" s="134">
        <v>1</v>
      </c>
      <c r="G50" s="218">
        <f>D50/C50</f>
        <v>0.17898776016533183</v>
      </c>
      <c r="H50" s="125"/>
    </row>
    <row r="51" spans="1:8" ht="15.75">
      <c r="A51" s="132"/>
      <c r="B51" s="133">
        <f>DATE(2013,9,1)</f>
        <v>41518</v>
      </c>
      <c r="C51" s="207">
        <v>2242997</v>
      </c>
      <c r="D51" s="207">
        <v>503451</v>
      </c>
      <c r="E51" s="207">
        <v>0</v>
      </c>
      <c r="F51" s="134">
        <v>1</v>
      </c>
      <c r="G51" s="218">
        <f>D51/C51</f>
        <v>0.2244546024805205</v>
      </c>
      <c r="H51" s="125"/>
    </row>
    <row r="52" spans="1:8" ht="15.75">
      <c r="A52" s="132"/>
      <c r="B52" s="133">
        <f>DATE(2013,10,1)</f>
        <v>41548</v>
      </c>
      <c r="C52" s="207">
        <v>2202979</v>
      </c>
      <c r="D52" s="207">
        <v>502149.5</v>
      </c>
      <c r="E52" s="207">
        <v>76884.5</v>
      </c>
      <c r="F52" s="134">
        <f>(+D52-E52)/E52</f>
        <v>5.5312189062815005</v>
      </c>
      <c r="G52" s="218">
        <f>D52/C52</f>
        <v>0.22794111972923936</v>
      </c>
      <c r="H52" s="125"/>
    </row>
    <row r="53" spans="1:8" ht="15.75">
      <c r="A53" s="132"/>
      <c r="B53" s="133">
        <f>DATE(2013,11,1)</f>
        <v>41579</v>
      </c>
      <c r="C53" s="207">
        <v>2121838</v>
      </c>
      <c r="D53" s="207">
        <v>533704.5</v>
      </c>
      <c r="E53" s="207">
        <v>760699</v>
      </c>
      <c r="F53" s="134">
        <f>(+D53-E53)/E53</f>
        <v>-0.2984025218910502</v>
      </c>
      <c r="G53" s="218">
        <f>D53/C53</f>
        <v>0.25152933447322556</v>
      </c>
      <c r="H53" s="125"/>
    </row>
    <row r="54" spans="1:8" ht="15.75" customHeight="1" thickBot="1">
      <c r="A54" s="132"/>
      <c r="B54" s="133"/>
      <c r="C54" s="207"/>
      <c r="D54" s="207"/>
      <c r="E54" s="207"/>
      <c r="F54" s="134"/>
      <c r="G54" s="218"/>
      <c r="H54" s="125"/>
    </row>
    <row r="55" spans="1:8" ht="17.25" thickBot="1" thickTop="1">
      <c r="A55" s="143" t="s">
        <v>14</v>
      </c>
      <c r="B55" s="144"/>
      <c r="C55" s="210">
        <f>SUM(C49:C54)</f>
        <v>11921062</v>
      </c>
      <c r="D55" s="266">
        <f>SUM(D49:D54)</f>
        <v>2599750.5</v>
      </c>
      <c r="E55" s="210">
        <f>SUM(E49:E54)</f>
        <v>837583.5</v>
      </c>
      <c r="F55" s="273">
        <f>(+D55-E55)/E55</f>
        <v>2.103870240996868</v>
      </c>
      <c r="G55" s="272">
        <f>D55/C55</f>
        <v>0.21808044451073236</v>
      </c>
      <c r="H55" s="125"/>
    </row>
    <row r="56" spans="1:8" ht="15.75" customHeight="1" thickTop="1">
      <c r="A56" s="132"/>
      <c r="B56" s="136"/>
      <c r="C56" s="207"/>
      <c r="D56" s="207"/>
      <c r="E56" s="207"/>
      <c r="F56" s="134"/>
      <c r="G56" s="221"/>
      <c r="H56" s="125"/>
    </row>
    <row r="57" spans="1:8" ht="15.75">
      <c r="A57" s="132" t="s">
        <v>17</v>
      </c>
      <c r="B57" s="133">
        <f>DATE(2013,7,1)</f>
        <v>41456</v>
      </c>
      <c r="C57" s="207">
        <v>2105060</v>
      </c>
      <c r="D57" s="207">
        <v>408942</v>
      </c>
      <c r="E57" s="207">
        <v>332508</v>
      </c>
      <c r="F57" s="134">
        <f>(+D57-E57)/E57</f>
        <v>0.22987116099462268</v>
      </c>
      <c r="G57" s="218">
        <f>D57/C57</f>
        <v>0.1942661966879804</v>
      </c>
      <c r="H57" s="125"/>
    </row>
    <row r="58" spans="1:8" ht="15.75">
      <c r="A58" s="132"/>
      <c r="B58" s="133">
        <f>DATE(2013,8,1)</f>
        <v>41487</v>
      </c>
      <c r="C58" s="207">
        <v>2133430</v>
      </c>
      <c r="D58" s="207">
        <v>382224</v>
      </c>
      <c r="E58" s="207">
        <v>388421</v>
      </c>
      <c r="F58" s="134">
        <f>(+D58-E58)/E58</f>
        <v>-0.01595433820519488</v>
      </c>
      <c r="G58" s="218">
        <f>D58/C58</f>
        <v>0.17915938184051036</v>
      </c>
      <c r="H58" s="125"/>
    </row>
    <row r="59" spans="1:8" ht="15.75">
      <c r="A59" s="132"/>
      <c r="B59" s="133">
        <f>DATE(2013,9,1)</f>
        <v>41518</v>
      </c>
      <c r="C59" s="207">
        <v>1897728</v>
      </c>
      <c r="D59" s="207">
        <v>379540.5</v>
      </c>
      <c r="E59" s="207">
        <v>395319</v>
      </c>
      <c r="F59" s="134">
        <f>(+D59-E59)/E59</f>
        <v>-0.03991333581234396</v>
      </c>
      <c r="G59" s="218">
        <f>D59/C59</f>
        <v>0.19999731257588022</v>
      </c>
      <c r="H59" s="125"/>
    </row>
    <row r="60" spans="1:8" ht="15.75">
      <c r="A60" s="132"/>
      <c r="B60" s="133">
        <f>DATE(2013,10,1)</f>
        <v>41548</v>
      </c>
      <c r="C60" s="207">
        <v>2123769</v>
      </c>
      <c r="D60" s="207">
        <v>521112.5</v>
      </c>
      <c r="E60" s="207">
        <v>388675.5</v>
      </c>
      <c r="F60" s="134">
        <f>(+D60-E60)/E60</f>
        <v>0.3407392542107748</v>
      </c>
      <c r="G60" s="218">
        <f>D60/C60</f>
        <v>0.24537155406261227</v>
      </c>
      <c r="H60" s="125"/>
    </row>
    <row r="61" spans="1:8" ht="15.75">
      <c r="A61" s="132"/>
      <c r="B61" s="133">
        <f>DATE(2013,11,1)</f>
        <v>41579</v>
      </c>
      <c r="C61" s="207">
        <v>2032272</v>
      </c>
      <c r="D61" s="207">
        <v>377449</v>
      </c>
      <c r="E61" s="207">
        <v>375484.5</v>
      </c>
      <c r="F61" s="134">
        <f>(+D61-E61)/E61</f>
        <v>0.005231907042767411</v>
      </c>
      <c r="G61" s="218">
        <f>D61/C61</f>
        <v>0.18572759945519104</v>
      </c>
      <c r="H61" s="125"/>
    </row>
    <row r="62" spans="1:8" ht="15.75" customHeight="1" thickBot="1">
      <c r="A62" s="132"/>
      <c r="B62" s="133"/>
      <c r="C62" s="207"/>
      <c r="D62" s="207"/>
      <c r="E62" s="207"/>
      <c r="F62" s="134"/>
      <c r="G62" s="218"/>
      <c r="H62" s="125"/>
    </row>
    <row r="63" spans="1:8" ht="17.25" thickBot="1" thickTop="1">
      <c r="A63" s="143" t="s">
        <v>14</v>
      </c>
      <c r="B63" s="144"/>
      <c r="C63" s="210">
        <f>SUM(C57:C62)</f>
        <v>10292259</v>
      </c>
      <c r="D63" s="266">
        <f>SUM(D57:D62)</f>
        <v>2069268</v>
      </c>
      <c r="E63" s="210">
        <f>SUM(E57:E62)</f>
        <v>1880408</v>
      </c>
      <c r="F63" s="274">
        <f>(+D63-E63)/E63</f>
        <v>0.10043565013550251</v>
      </c>
      <c r="G63" s="272">
        <f>D63/C63</f>
        <v>0.201050906317068</v>
      </c>
      <c r="H63" s="125"/>
    </row>
    <row r="64" spans="1:8" ht="15.75" customHeight="1" thickTop="1">
      <c r="A64" s="132"/>
      <c r="B64" s="141"/>
      <c r="C64" s="208"/>
      <c r="D64" s="208"/>
      <c r="E64" s="208"/>
      <c r="F64" s="142"/>
      <c r="G64" s="219"/>
      <c r="H64" s="125"/>
    </row>
    <row r="65" spans="1:8" ht="15.75">
      <c r="A65" s="132" t="s">
        <v>55</v>
      </c>
      <c r="B65" s="133">
        <f>DATE(2013,7,1)</f>
        <v>41456</v>
      </c>
      <c r="C65" s="207">
        <v>11761476.5</v>
      </c>
      <c r="D65" s="207">
        <v>2053854.55</v>
      </c>
      <c r="E65" s="207">
        <v>2343873.36</v>
      </c>
      <c r="F65" s="134">
        <f>(+D65-E65)/E65</f>
        <v>-0.12373484632292585</v>
      </c>
      <c r="G65" s="218">
        <f>D65/C65</f>
        <v>0.17462557103268456</v>
      </c>
      <c r="H65" s="125"/>
    </row>
    <row r="66" spans="1:8" ht="15.75">
      <c r="A66" s="132"/>
      <c r="B66" s="133">
        <f>DATE(2013,8,1)</f>
        <v>41487</v>
      </c>
      <c r="C66" s="207">
        <v>13148338</v>
      </c>
      <c r="D66" s="207">
        <v>2822221.23</v>
      </c>
      <c r="E66" s="207">
        <v>2630512.84</v>
      </c>
      <c r="F66" s="134">
        <f>(+D66-E66)/E66</f>
        <v>0.07287871288246597</v>
      </c>
      <c r="G66" s="218">
        <f>D66/C66</f>
        <v>0.21464471251043288</v>
      </c>
      <c r="H66" s="125"/>
    </row>
    <row r="67" spans="1:8" ht="15.75">
      <c r="A67" s="132"/>
      <c r="B67" s="133">
        <f>DATE(2013,9,1)</f>
        <v>41518</v>
      </c>
      <c r="C67" s="207">
        <v>11861122</v>
      </c>
      <c r="D67" s="207">
        <v>2713146.57</v>
      </c>
      <c r="E67" s="207">
        <v>2271073.81</v>
      </c>
      <c r="F67" s="134">
        <f>(+D67-E67)/E67</f>
        <v>0.19465362950929357</v>
      </c>
      <c r="G67" s="218">
        <f>D67/C67</f>
        <v>0.22874282635318985</v>
      </c>
      <c r="H67" s="125"/>
    </row>
    <row r="68" spans="1:8" ht="15.75">
      <c r="A68" s="132"/>
      <c r="B68" s="133">
        <f>DATE(2013,10,1)</f>
        <v>41548</v>
      </c>
      <c r="C68" s="207">
        <v>12203419</v>
      </c>
      <c r="D68" s="207">
        <v>3336766</v>
      </c>
      <c r="E68" s="207">
        <v>3090660.71</v>
      </c>
      <c r="F68" s="134">
        <f>(+D68-E68)/E68</f>
        <v>0.0796286985509969</v>
      </c>
      <c r="G68" s="218">
        <f>D68/C68</f>
        <v>0.2734287825403684</v>
      </c>
      <c r="H68" s="125"/>
    </row>
    <row r="69" spans="1:8" ht="15.75">
      <c r="A69" s="132"/>
      <c r="B69" s="133">
        <f>DATE(2013,11,1)</f>
        <v>41579</v>
      </c>
      <c r="C69" s="207">
        <v>11919423.5</v>
      </c>
      <c r="D69" s="207">
        <v>1994741.59</v>
      </c>
      <c r="E69" s="207">
        <v>2603924.62</v>
      </c>
      <c r="F69" s="134">
        <f>(+D69-E69)/E69</f>
        <v>-0.23394802803469786</v>
      </c>
      <c r="G69" s="218">
        <f>D69/C69</f>
        <v>0.16735218695769977</v>
      </c>
      <c r="H69" s="125"/>
    </row>
    <row r="70" spans="1:8" ht="15.75" customHeight="1" thickBot="1">
      <c r="A70" s="132"/>
      <c r="B70" s="133"/>
      <c r="C70" s="207"/>
      <c r="D70" s="207"/>
      <c r="E70" s="207"/>
      <c r="F70" s="134"/>
      <c r="G70" s="218"/>
      <c r="H70" s="125"/>
    </row>
    <row r="71" spans="1:8" ht="17.25" thickBot="1" thickTop="1">
      <c r="A71" s="143" t="s">
        <v>14</v>
      </c>
      <c r="B71" s="144"/>
      <c r="C71" s="209">
        <f>SUM(C65:C70)</f>
        <v>60893779</v>
      </c>
      <c r="D71" s="209">
        <f>SUM(D65:D70)</f>
        <v>12920729.94</v>
      </c>
      <c r="E71" s="209">
        <f>SUM(E65:E70)</f>
        <v>12940045.34</v>
      </c>
      <c r="F71" s="145">
        <f>(+D71-E71)/E71</f>
        <v>-0.0014926841052320743</v>
      </c>
      <c r="G71" s="220">
        <f>D71/C71</f>
        <v>0.21218472809841543</v>
      </c>
      <c r="H71" s="125"/>
    </row>
    <row r="72" spans="1:8" ht="15.75" customHeight="1" thickTop="1">
      <c r="A72" s="140"/>
      <c r="B72" s="141"/>
      <c r="C72" s="208"/>
      <c r="D72" s="208"/>
      <c r="E72" s="208"/>
      <c r="F72" s="142"/>
      <c r="G72" s="219"/>
      <c r="H72" s="125"/>
    </row>
    <row r="73" spans="1:8" ht="15.75">
      <c r="A73" s="132" t="s">
        <v>18</v>
      </c>
      <c r="B73" s="133">
        <f>DATE(2013,7,1)</f>
        <v>41456</v>
      </c>
      <c r="C73" s="207">
        <v>9323163</v>
      </c>
      <c r="D73" s="207">
        <v>2139547</v>
      </c>
      <c r="E73" s="207">
        <v>2399258.75</v>
      </c>
      <c r="F73" s="134">
        <f>(+D73-E73)/E73</f>
        <v>-0.10824666159912931</v>
      </c>
      <c r="G73" s="218">
        <f>D73/C73</f>
        <v>0.22948724590570818</v>
      </c>
      <c r="H73" s="125"/>
    </row>
    <row r="74" spans="1:8" ht="15.75">
      <c r="A74" s="132"/>
      <c r="B74" s="133">
        <f>DATE(2013,8,1)</f>
        <v>41487</v>
      </c>
      <c r="C74" s="286">
        <v>9745422</v>
      </c>
      <c r="D74" s="207">
        <v>1918123.5</v>
      </c>
      <c r="E74" s="207">
        <v>1805947.5</v>
      </c>
      <c r="F74" s="134">
        <f>(+D74-E74)/E74</f>
        <v>0.062114762472331005</v>
      </c>
      <c r="G74" s="218">
        <f>D74/C74</f>
        <v>0.19682303136795923</v>
      </c>
      <c r="H74" s="125"/>
    </row>
    <row r="75" spans="1:8" ht="15.75">
      <c r="A75" s="132"/>
      <c r="B75" s="133">
        <f>DATE(2013,9,1)</f>
        <v>41518</v>
      </c>
      <c r="C75" s="286">
        <v>8921316</v>
      </c>
      <c r="D75" s="207">
        <v>1434018</v>
      </c>
      <c r="E75" s="207">
        <v>1884063.5</v>
      </c>
      <c r="F75" s="134">
        <f>(+D75-E75)/E75</f>
        <v>-0.23886960285574238</v>
      </c>
      <c r="G75" s="218">
        <f>D75/C75</f>
        <v>0.16074063512602849</v>
      </c>
      <c r="H75" s="125"/>
    </row>
    <row r="76" spans="1:8" ht="15.75">
      <c r="A76" s="132"/>
      <c r="B76" s="133">
        <f>DATE(2013,10,1)</f>
        <v>41548</v>
      </c>
      <c r="C76" s="286">
        <v>9146060</v>
      </c>
      <c r="D76" s="207">
        <v>1987279.5</v>
      </c>
      <c r="E76" s="207">
        <v>1745693</v>
      </c>
      <c r="F76" s="134">
        <f>(+D76-E76)/E76</f>
        <v>0.13839002619590043</v>
      </c>
      <c r="G76" s="218">
        <f>D76/C76</f>
        <v>0.21728257850921598</v>
      </c>
      <c r="H76" s="125"/>
    </row>
    <row r="77" spans="1:8" ht="15.75">
      <c r="A77" s="132"/>
      <c r="B77" s="133">
        <f>DATE(2013,11,1)</f>
        <v>41579</v>
      </c>
      <c r="C77" s="286">
        <v>9267584</v>
      </c>
      <c r="D77" s="207">
        <v>1974557.5</v>
      </c>
      <c r="E77" s="207">
        <v>2339476.5</v>
      </c>
      <c r="F77" s="134">
        <f>(+D77-E77)/E77</f>
        <v>-0.15598318683688422</v>
      </c>
      <c r="G77" s="218">
        <f>D77/C77</f>
        <v>0.2130606531324669</v>
      </c>
      <c r="H77" s="125"/>
    </row>
    <row r="78" spans="1:8" ht="15.75" customHeight="1" thickBot="1">
      <c r="A78" s="132"/>
      <c r="B78" s="133"/>
      <c r="C78" s="207"/>
      <c r="D78" s="207"/>
      <c r="E78" s="207"/>
      <c r="F78" s="134"/>
      <c r="G78" s="218"/>
      <c r="H78" s="125"/>
    </row>
    <row r="79" spans="1:8" ht="17.25" thickBot="1" thickTop="1">
      <c r="A79" s="143" t="s">
        <v>14</v>
      </c>
      <c r="B79" s="144"/>
      <c r="C79" s="209">
        <f>SUM(C73:C78)</f>
        <v>46403545</v>
      </c>
      <c r="D79" s="209">
        <f>SUM(D73:D78)</f>
        <v>9453525.5</v>
      </c>
      <c r="E79" s="209">
        <f>SUM(E73:E78)</f>
        <v>10174439.25</v>
      </c>
      <c r="F79" s="145">
        <f>(+D79-E79)/E79</f>
        <v>-0.0708553790814565</v>
      </c>
      <c r="G79" s="220">
        <f>D79/C79</f>
        <v>0.20372420900170451</v>
      </c>
      <c r="H79" s="125"/>
    </row>
    <row r="80" spans="1:8" ht="15.75" customHeight="1" thickTop="1">
      <c r="A80" s="140"/>
      <c r="B80" s="141"/>
      <c r="C80" s="208"/>
      <c r="D80" s="208"/>
      <c r="E80" s="208"/>
      <c r="F80" s="142"/>
      <c r="G80" s="219"/>
      <c r="H80" s="125"/>
    </row>
    <row r="81" spans="1:8" ht="15.75">
      <c r="A81" s="132" t="s">
        <v>59</v>
      </c>
      <c r="B81" s="133">
        <f>DATE(2013,7,1)</f>
        <v>41456</v>
      </c>
      <c r="C81" s="207">
        <v>8037939.5</v>
      </c>
      <c r="D81" s="207">
        <v>1531315.5</v>
      </c>
      <c r="E81" s="207">
        <v>1839215.5</v>
      </c>
      <c r="F81" s="134">
        <f>(+D81-E81)/E81</f>
        <v>-0.16740833252003368</v>
      </c>
      <c r="G81" s="218">
        <f>D81/C81</f>
        <v>0.19051095122076994</v>
      </c>
      <c r="H81" s="125"/>
    </row>
    <row r="82" spans="1:8" ht="15.75">
      <c r="A82" s="132"/>
      <c r="B82" s="133">
        <f>DATE(2013,8,1)</f>
        <v>41487</v>
      </c>
      <c r="C82" s="207">
        <v>8904406.25</v>
      </c>
      <c r="D82" s="207">
        <v>1844708.75</v>
      </c>
      <c r="E82" s="207">
        <v>1527182.5</v>
      </c>
      <c r="F82" s="134">
        <f>(+D82-E82)/E82</f>
        <v>0.2079163754168215</v>
      </c>
      <c r="G82" s="218">
        <f>D82/C82</f>
        <v>0.20716808040962867</v>
      </c>
      <c r="H82" s="125"/>
    </row>
    <row r="83" spans="1:8" ht="15.75">
      <c r="A83" s="132"/>
      <c r="B83" s="133">
        <f>DATE(2013,9,1)</f>
        <v>41518</v>
      </c>
      <c r="C83" s="207">
        <v>8460889</v>
      </c>
      <c r="D83" s="207">
        <v>1674570</v>
      </c>
      <c r="E83" s="207">
        <v>2214825</v>
      </c>
      <c r="F83" s="134">
        <f>(+D83-E83)/E83</f>
        <v>-0.243926721072771</v>
      </c>
      <c r="G83" s="218">
        <f>D83/C83</f>
        <v>0.1979189184493497</v>
      </c>
      <c r="H83" s="125"/>
    </row>
    <row r="84" spans="1:8" ht="15.75">
      <c r="A84" s="132"/>
      <c r="B84" s="133">
        <f>DATE(2013,10,1)</f>
        <v>41548</v>
      </c>
      <c r="C84" s="207">
        <v>8838633</v>
      </c>
      <c r="D84" s="207">
        <v>1774239</v>
      </c>
      <c r="E84" s="207">
        <v>1299004</v>
      </c>
      <c r="F84" s="134">
        <f>(+D84-E84)/E84</f>
        <v>0.36584567868921114</v>
      </c>
      <c r="G84" s="218">
        <f>D84/C84</f>
        <v>0.20073681077152994</v>
      </c>
      <c r="H84" s="125"/>
    </row>
    <row r="85" spans="1:8" ht="15.75">
      <c r="A85" s="132"/>
      <c r="B85" s="133">
        <f>DATE(2013,11,1)</f>
        <v>41579</v>
      </c>
      <c r="C85" s="207">
        <v>11104967</v>
      </c>
      <c r="D85" s="207">
        <v>2709816</v>
      </c>
      <c r="E85" s="207">
        <v>1717048.5</v>
      </c>
      <c r="F85" s="134">
        <f>(+D85-E85)/E85</f>
        <v>0.5781825615292754</v>
      </c>
      <c r="G85" s="218">
        <f>D85/C85</f>
        <v>0.24401837484073569</v>
      </c>
      <c r="H85" s="125"/>
    </row>
    <row r="86" spans="1:8" ht="15.75" thickBot="1">
      <c r="A86" s="135"/>
      <c r="B86" s="133"/>
      <c r="C86" s="207"/>
      <c r="D86" s="207"/>
      <c r="E86" s="207"/>
      <c r="F86" s="134"/>
      <c r="G86" s="218"/>
      <c r="H86" s="125"/>
    </row>
    <row r="87" spans="1:8" ht="17.25" thickBot="1" thickTop="1">
      <c r="A87" s="143" t="s">
        <v>14</v>
      </c>
      <c r="B87" s="144"/>
      <c r="C87" s="210">
        <f>SUM(C81:C86)</f>
        <v>45346834.75</v>
      </c>
      <c r="D87" s="210">
        <f>SUM(D81:D86)</f>
        <v>9534649.25</v>
      </c>
      <c r="E87" s="210">
        <f>SUM(E81:E86)</f>
        <v>8597275.5</v>
      </c>
      <c r="F87" s="145">
        <f>(+D87-E87)/E87</f>
        <v>0.10903148910372827</v>
      </c>
      <c r="G87" s="272">
        <f>D87/C87</f>
        <v>0.21026052430263614</v>
      </c>
      <c r="H87" s="125"/>
    </row>
    <row r="88" spans="1:8" ht="15.75" customHeight="1" thickTop="1">
      <c r="A88" s="140"/>
      <c r="B88" s="141"/>
      <c r="C88" s="208"/>
      <c r="D88" s="208"/>
      <c r="E88" s="208"/>
      <c r="F88" s="142"/>
      <c r="G88" s="222"/>
      <c r="H88" s="125"/>
    </row>
    <row r="89" spans="1:8" ht="15.75">
      <c r="A89" s="132" t="s">
        <v>60</v>
      </c>
      <c r="B89" s="133">
        <f>DATE(2013,7,1)</f>
        <v>41456</v>
      </c>
      <c r="C89" s="207">
        <v>841584</v>
      </c>
      <c r="D89" s="207">
        <v>203697.5</v>
      </c>
      <c r="E89" s="207">
        <v>195676.5</v>
      </c>
      <c r="F89" s="134">
        <f>(+D89-E89)/E89</f>
        <v>0.04099112565893196</v>
      </c>
      <c r="G89" s="218">
        <f>D89/C89</f>
        <v>0.24204060438411376</v>
      </c>
      <c r="H89" s="125"/>
    </row>
    <row r="90" spans="1:8" ht="15.75">
      <c r="A90" s="132"/>
      <c r="B90" s="133">
        <f>DATE(2013,8,1)</f>
        <v>41487</v>
      </c>
      <c r="C90" s="207">
        <v>910451</v>
      </c>
      <c r="D90" s="207">
        <v>190431</v>
      </c>
      <c r="E90" s="207">
        <v>206422</v>
      </c>
      <c r="F90" s="134">
        <f>(+D90-E90)/E90</f>
        <v>-0.07746751799711271</v>
      </c>
      <c r="G90" s="218">
        <f>D90/C90</f>
        <v>0.20916117396762704</v>
      </c>
      <c r="H90" s="125"/>
    </row>
    <row r="91" spans="1:8" ht="15.75">
      <c r="A91" s="132"/>
      <c r="B91" s="133">
        <f>DATE(2013,9,1)</f>
        <v>41518</v>
      </c>
      <c r="C91" s="207">
        <v>872632</v>
      </c>
      <c r="D91" s="207">
        <v>231071.5</v>
      </c>
      <c r="E91" s="207">
        <v>188948</v>
      </c>
      <c r="F91" s="134">
        <f>(+D91-E91)/E91</f>
        <v>0.22293699853928065</v>
      </c>
      <c r="G91" s="218">
        <f>D91/C91</f>
        <v>0.26479833423482063</v>
      </c>
      <c r="H91" s="125"/>
    </row>
    <row r="92" spans="1:8" ht="15.75">
      <c r="A92" s="132"/>
      <c r="B92" s="133">
        <f>DATE(2013,10,1)</f>
        <v>41548</v>
      </c>
      <c r="C92" s="207">
        <v>845674</v>
      </c>
      <c r="D92" s="207">
        <v>208717.5</v>
      </c>
      <c r="E92" s="207">
        <v>149868</v>
      </c>
      <c r="F92" s="134">
        <f>(+D92-E92)/E92</f>
        <v>0.3926755544879494</v>
      </c>
      <c r="G92" s="218">
        <f>D92/C92</f>
        <v>0.24680609785803986</v>
      </c>
      <c r="H92" s="125"/>
    </row>
    <row r="93" spans="1:8" ht="15.75">
      <c r="A93" s="132"/>
      <c r="B93" s="133">
        <f>DATE(2013,11,1)</f>
        <v>41579</v>
      </c>
      <c r="C93" s="207">
        <v>945547</v>
      </c>
      <c r="D93" s="207">
        <v>270575</v>
      </c>
      <c r="E93" s="207">
        <v>222391</v>
      </c>
      <c r="F93" s="134">
        <f>(+D93-E93)/E93</f>
        <v>0.21666344411419527</v>
      </c>
      <c r="G93" s="218">
        <f>D93/C93</f>
        <v>0.2861571132899792</v>
      </c>
      <c r="H93" s="125"/>
    </row>
    <row r="94" spans="1:8" ht="15.75" thickBot="1">
      <c r="A94" s="135"/>
      <c r="B94" s="136"/>
      <c r="C94" s="207"/>
      <c r="D94" s="207"/>
      <c r="E94" s="207"/>
      <c r="F94" s="134"/>
      <c r="G94" s="218"/>
      <c r="H94" s="125"/>
    </row>
    <row r="95" spans="1:8" ht="17.25" thickBot="1" thickTop="1">
      <c r="A95" s="146" t="s">
        <v>14</v>
      </c>
      <c r="B95" s="147"/>
      <c r="C95" s="210">
        <f>SUM(C89:C94)</f>
        <v>4415888</v>
      </c>
      <c r="D95" s="210">
        <f>SUM(D89:D94)</f>
        <v>1104492.5</v>
      </c>
      <c r="E95" s="210">
        <f>SUM(E89:E94)</f>
        <v>963305.5</v>
      </c>
      <c r="F95" s="145">
        <f>(+D95-E95)/E95</f>
        <v>0.14656513432135496</v>
      </c>
      <c r="G95" s="220">
        <f>D95/C95</f>
        <v>0.25011786983727846</v>
      </c>
      <c r="H95" s="125"/>
    </row>
    <row r="96" spans="1:8" ht="15.75" customHeight="1" thickTop="1">
      <c r="A96" s="132"/>
      <c r="B96" s="136"/>
      <c r="C96" s="207"/>
      <c r="D96" s="207"/>
      <c r="E96" s="207"/>
      <c r="F96" s="134"/>
      <c r="G96" s="221"/>
      <c r="H96" s="125"/>
    </row>
    <row r="97" spans="1:8" ht="15.75">
      <c r="A97" s="132" t="s">
        <v>40</v>
      </c>
      <c r="B97" s="133">
        <f>DATE(2013,7,1)</f>
        <v>41456</v>
      </c>
      <c r="C97" s="207">
        <v>11050716</v>
      </c>
      <c r="D97" s="207">
        <v>2227589.5</v>
      </c>
      <c r="E97" s="207">
        <v>1762870</v>
      </c>
      <c r="F97" s="134">
        <f>(+D97-E97)/E97</f>
        <v>0.26361529778145865</v>
      </c>
      <c r="G97" s="218">
        <f>D97/C97</f>
        <v>0.20157874838155285</v>
      </c>
      <c r="H97" s="125"/>
    </row>
    <row r="98" spans="1:8" ht="15.75">
      <c r="A98" s="132"/>
      <c r="B98" s="133">
        <f>DATE(2013,8,1)</f>
        <v>41487</v>
      </c>
      <c r="C98" s="207">
        <v>10780984</v>
      </c>
      <c r="D98" s="207">
        <v>2324049.9</v>
      </c>
      <c r="E98" s="207">
        <v>1712525</v>
      </c>
      <c r="F98" s="134">
        <f>(+D98-E98)/E98</f>
        <v>0.3570896191296477</v>
      </c>
      <c r="G98" s="218">
        <f>D98/C98</f>
        <v>0.21556936732305695</v>
      </c>
      <c r="H98" s="125"/>
    </row>
    <row r="99" spans="1:8" ht="15.75">
      <c r="A99" s="132"/>
      <c r="B99" s="133">
        <f>DATE(2013,9,1)</f>
        <v>41518</v>
      </c>
      <c r="C99" s="207">
        <v>10066559</v>
      </c>
      <c r="D99" s="207">
        <v>1889804.5</v>
      </c>
      <c r="E99" s="207">
        <v>2354862.5</v>
      </c>
      <c r="F99" s="134">
        <f>(+D99-E99)/E99</f>
        <v>-0.19748838838785704</v>
      </c>
      <c r="G99" s="218">
        <f>D99/C99</f>
        <v>0.18773093169175287</v>
      </c>
      <c r="H99" s="125"/>
    </row>
    <row r="100" spans="1:8" ht="15.75">
      <c r="A100" s="132"/>
      <c r="B100" s="133">
        <f>DATE(2013,10,1)</f>
        <v>41548</v>
      </c>
      <c r="C100" s="207">
        <v>9828046.5</v>
      </c>
      <c r="D100" s="207">
        <v>1892475</v>
      </c>
      <c r="E100" s="207">
        <v>2068802</v>
      </c>
      <c r="F100" s="134">
        <f>(+D100-E100)/E100</f>
        <v>-0.0852314527924857</v>
      </c>
      <c r="G100" s="218">
        <f>D100/C100</f>
        <v>0.19255861274160638</v>
      </c>
      <c r="H100" s="125"/>
    </row>
    <row r="101" spans="1:8" ht="15.75">
      <c r="A101" s="132"/>
      <c r="B101" s="133">
        <f>DATE(2013,11,1)</f>
        <v>41579</v>
      </c>
      <c r="C101" s="207">
        <v>10586290</v>
      </c>
      <c r="D101" s="207">
        <v>2298940</v>
      </c>
      <c r="E101" s="207">
        <v>2585750.5</v>
      </c>
      <c r="F101" s="134">
        <f>(+D101-E101)/E101</f>
        <v>-0.1109196343576072</v>
      </c>
      <c r="G101" s="218">
        <f>D101/C101</f>
        <v>0.21716200859791296</v>
      </c>
      <c r="H101" s="125"/>
    </row>
    <row r="102" spans="1:8" ht="15.75" thickBot="1">
      <c r="A102" s="135"/>
      <c r="B102" s="136"/>
      <c r="C102" s="207"/>
      <c r="D102" s="207"/>
      <c r="E102" s="207"/>
      <c r="F102" s="134"/>
      <c r="G102" s="218"/>
      <c r="H102" s="125"/>
    </row>
    <row r="103" spans="1:8" ht="17.25" thickBot="1" thickTop="1">
      <c r="A103" s="143" t="s">
        <v>14</v>
      </c>
      <c r="B103" s="144"/>
      <c r="C103" s="209">
        <f>SUM(C97:C102)</f>
        <v>52312595.5</v>
      </c>
      <c r="D103" s="210">
        <f>SUM(D97:D102)</f>
        <v>10632858.9</v>
      </c>
      <c r="E103" s="209">
        <f>SUM(E97:E102)</f>
        <v>10484810</v>
      </c>
      <c r="F103" s="145">
        <f>(+D103-E103)/E103</f>
        <v>0.014120322638178506</v>
      </c>
      <c r="G103" s="220">
        <f>D103/C103</f>
        <v>0.2032561909492715</v>
      </c>
      <c r="H103" s="125"/>
    </row>
    <row r="104" spans="1:8" ht="15.75" customHeight="1" thickTop="1">
      <c r="A104" s="132"/>
      <c r="B104" s="136"/>
      <c r="C104" s="207"/>
      <c r="D104" s="207"/>
      <c r="E104" s="207"/>
      <c r="F104" s="134"/>
      <c r="G104" s="221"/>
      <c r="H104" s="125"/>
    </row>
    <row r="105" spans="1:8" ht="15.75">
      <c r="A105" s="132" t="s">
        <v>73</v>
      </c>
      <c r="B105" s="133">
        <f>DATE(2013,7,1)</f>
        <v>41456</v>
      </c>
      <c r="C105" s="207">
        <v>894625</v>
      </c>
      <c r="D105" s="207">
        <v>164037</v>
      </c>
      <c r="E105" s="207">
        <v>276915.5</v>
      </c>
      <c r="F105" s="134">
        <f>(+D105-E105)/E105</f>
        <v>-0.4076279587094258</v>
      </c>
      <c r="G105" s="218">
        <f>D105/C105</f>
        <v>0.18335839038703367</v>
      </c>
      <c r="H105" s="125"/>
    </row>
    <row r="106" spans="1:8" ht="15.75">
      <c r="A106" s="132"/>
      <c r="B106" s="133">
        <f>DATE(2013,8,1)</f>
        <v>41487</v>
      </c>
      <c r="C106" s="207">
        <v>867462</v>
      </c>
      <c r="D106" s="207">
        <v>222733.5</v>
      </c>
      <c r="E106" s="207">
        <v>214993</v>
      </c>
      <c r="F106" s="134">
        <f>(+D106-E106)/E106</f>
        <v>0.03600349778830009</v>
      </c>
      <c r="G106" s="218">
        <f>D106/C106</f>
        <v>0.25676456144476645</v>
      </c>
      <c r="H106" s="125"/>
    </row>
    <row r="107" spans="1:8" ht="15.75">
      <c r="A107" s="132"/>
      <c r="B107" s="133">
        <f>DATE(2013,9,1)</f>
        <v>41518</v>
      </c>
      <c r="C107" s="207">
        <v>838938</v>
      </c>
      <c r="D107" s="207">
        <v>198230</v>
      </c>
      <c r="E107" s="207">
        <v>235157</v>
      </c>
      <c r="F107" s="134">
        <f>(+D107-E107)/E107</f>
        <v>-0.15703125996674563</v>
      </c>
      <c r="G107" s="218">
        <f>D107/C107</f>
        <v>0.23628682930085418</v>
      </c>
      <c r="H107" s="125"/>
    </row>
    <row r="108" spans="1:8" ht="15.75">
      <c r="A108" s="132"/>
      <c r="B108" s="133">
        <f>DATE(2013,10,1)</f>
        <v>41548</v>
      </c>
      <c r="C108" s="207">
        <v>904965</v>
      </c>
      <c r="D108" s="207">
        <v>206944</v>
      </c>
      <c r="E108" s="207">
        <v>273446</v>
      </c>
      <c r="F108" s="134">
        <f>(+D108-E108)/E108</f>
        <v>-0.2431997542476394</v>
      </c>
      <c r="G108" s="218">
        <f>D108/C108</f>
        <v>0.22867624714767976</v>
      </c>
      <c r="H108" s="125"/>
    </row>
    <row r="109" spans="1:8" ht="15.75">
      <c r="A109" s="132"/>
      <c r="B109" s="133">
        <f>DATE(2013,11,1)</f>
        <v>41579</v>
      </c>
      <c r="C109" s="207">
        <v>880917</v>
      </c>
      <c r="D109" s="207">
        <v>185684.5</v>
      </c>
      <c r="E109" s="207">
        <v>276452</v>
      </c>
      <c r="F109" s="134">
        <f>(+D109-E109)/E109</f>
        <v>-0.3283300536802049</v>
      </c>
      <c r="G109" s="218">
        <f>D109/C109</f>
        <v>0.21078546560005085</v>
      </c>
      <c r="H109" s="125"/>
    </row>
    <row r="110" spans="1:8" ht="15.75" thickBot="1">
      <c r="A110" s="135"/>
      <c r="B110" s="136"/>
      <c r="C110" s="207"/>
      <c r="D110" s="207"/>
      <c r="E110" s="207"/>
      <c r="F110" s="134"/>
      <c r="G110" s="218"/>
      <c r="H110" s="125"/>
    </row>
    <row r="111" spans="1:8" ht="17.25" thickBot="1" thickTop="1">
      <c r="A111" s="137" t="s">
        <v>14</v>
      </c>
      <c r="B111" s="138"/>
      <c r="C111" s="204">
        <f>SUM(C105:C110)</f>
        <v>4386907</v>
      </c>
      <c r="D111" s="210">
        <f>SUM(D105:D110)</f>
        <v>977629</v>
      </c>
      <c r="E111" s="210">
        <f>SUM(E105:E110)</f>
        <v>1276963.5</v>
      </c>
      <c r="F111" s="145">
        <f>(+D111-E111)/E111</f>
        <v>-0.23441116367069223</v>
      </c>
      <c r="G111" s="220">
        <f>D111/C111</f>
        <v>0.22285154437967342</v>
      </c>
      <c r="H111" s="125"/>
    </row>
    <row r="112" spans="1:8" ht="16.5" thickBot="1" thickTop="1">
      <c r="A112" s="148"/>
      <c r="B112" s="141"/>
      <c r="C112" s="208"/>
      <c r="D112" s="208"/>
      <c r="E112" s="208"/>
      <c r="F112" s="142"/>
      <c r="G112" s="219"/>
      <c r="H112" s="125"/>
    </row>
    <row r="113" spans="1:8" ht="17.25" thickBot="1" thickTop="1">
      <c r="A113" s="149" t="s">
        <v>41</v>
      </c>
      <c r="B113" s="123"/>
      <c r="C113" s="204">
        <f>C111+C103+C79+C63+C47+C31+C15+C39+C95+C23+C71+C87+C55</f>
        <v>399215926.85</v>
      </c>
      <c r="D113" s="204">
        <f>D111+D103+D79+D63+D47+D31+D15+D39+D95+D23+D71+D87+D55</f>
        <v>85848947.46</v>
      </c>
      <c r="E113" s="204">
        <f>E111+E103+E79+E63+E47+E31+E15+E39+E95+E23+E71+E87+E55</f>
        <v>84502188.75999999</v>
      </c>
      <c r="F113" s="139">
        <f>(+D113-E113)/E113</f>
        <v>0.01593755995865406</v>
      </c>
      <c r="G113" s="215">
        <f>D113/C113</f>
        <v>0.21504389400840856</v>
      </c>
      <c r="H113" s="125"/>
    </row>
    <row r="114" spans="1:8" ht="17.25" thickBot="1" thickTop="1">
      <c r="A114" s="149"/>
      <c r="B114" s="123"/>
      <c r="C114" s="204"/>
      <c r="D114" s="204"/>
      <c r="E114" s="204"/>
      <c r="F114" s="139"/>
      <c r="G114" s="215"/>
      <c r="H114" s="125"/>
    </row>
    <row r="115" spans="1:8" ht="17.25" thickBot="1" thickTop="1">
      <c r="A115" s="270" t="s">
        <v>42</v>
      </c>
      <c r="B115" s="271"/>
      <c r="C115" s="209">
        <f>+C13+C21+C29+C37+C45+C53+C61+C69+C77+C85+C93+C101+C109</f>
        <v>82302009.66</v>
      </c>
      <c r="D115" s="209">
        <f>+D13+D21+D29+D37+D45+D53+D61+D69+D77+D85+D93+D101+D109</f>
        <v>17718991.17</v>
      </c>
      <c r="E115" s="209">
        <f>+E13+E21+E29+E37+E45+E53+E61+E69+E77+E85+E93+E101+E109</f>
        <v>17517883.240000002</v>
      </c>
      <c r="F115" s="145">
        <f>(+D115-E115)/E115</f>
        <v>0.011480150155401976</v>
      </c>
      <c r="G115" s="220">
        <f>D115/C115</f>
        <v>0.21529232692129138</v>
      </c>
      <c r="H115" s="125"/>
    </row>
    <row r="116" spans="1:8" ht="16.5" thickTop="1">
      <c r="A116" s="259"/>
      <c r="B116" s="261"/>
      <c r="C116" s="262"/>
      <c r="D116" s="262"/>
      <c r="E116" s="262"/>
      <c r="F116" s="263"/>
      <c r="G116" s="260"/>
      <c r="H116" s="260"/>
    </row>
    <row r="117" spans="1:18" s="3" customFormat="1" ht="15.75">
      <c r="A117" s="279" t="s">
        <v>63</v>
      </c>
      <c r="B117" s="264"/>
      <c r="C117" s="265"/>
      <c r="D117" s="264"/>
      <c r="E117" s="264"/>
      <c r="F117" s="264"/>
      <c r="G117" s="264"/>
      <c r="H117" s="264"/>
      <c r="I117" s="264"/>
      <c r="J117" s="264"/>
      <c r="K117" s="265"/>
      <c r="L117" s="265"/>
      <c r="M117" s="264"/>
      <c r="R117" s="2"/>
    </row>
    <row r="118" spans="1:18" s="3" customFormat="1" ht="15.75">
      <c r="A118" s="259" t="s">
        <v>69</v>
      </c>
      <c r="B118" s="261"/>
      <c r="C118" s="262"/>
      <c r="D118" s="262"/>
      <c r="E118" s="262"/>
      <c r="F118" s="263"/>
      <c r="G118" s="260"/>
      <c r="H118" s="260"/>
      <c r="I118" s="264"/>
      <c r="J118" s="264"/>
      <c r="K118" s="265"/>
      <c r="L118" s="265"/>
      <c r="M118" s="264"/>
      <c r="R118" s="2"/>
    </row>
    <row r="119" spans="1:7" ht="18.75">
      <c r="A119" s="268" t="s">
        <v>43</v>
      </c>
      <c r="B119" s="118"/>
      <c r="C119" s="211"/>
      <c r="D119" s="211"/>
      <c r="E119" s="211"/>
      <c r="F119" s="150"/>
      <c r="G119" s="223"/>
    </row>
    <row r="120" ht="15.75">
      <c r="A120" s="73"/>
    </row>
  </sheetData>
  <sheetProtection/>
  <printOptions horizontalCentered="1"/>
  <pageMargins left="0.7" right="0.25" top="0.319444444444444" bottom="0.2" header="0.5" footer="0.5"/>
  <pageSetup horizontalDpi="600" verticalDpi="600" orientation="landscape" scale="65" r:id="rId1"/>
  <rowBreaks count="2" manualBreakCount="2">
    <brk id="47" max="7" man="1"/>
    <brk id="8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22"/>
  <sheetViews>
    <sheetView showOutlineSymbols="0" zoomScalePageLayoutView="0" workbookViewId="0" topLeftCell="A1">
      <selection activeCell="A1" sqref="A1"/>
    </sheetView>
  </sheetViews>
  <sheetFormatPr defaultColWidth="9.6640625" defaultRowHeight="15"/>
  <cols>
    <col min="1" max="1" width="27.6640625" style="154" customWidth="1"/>
    <col min="2" max="2" width="9.6640625" style="154" customWidth="1"/>
    <col min="3" max="3" width="18.3359375" style="236" customWidth="1"/>
    <col min="4" max="4" width="16.4453125" style="236" customWidth="1"/>
    <col min="5" max="5" width="15.5546875" style="236" customWidth="1"/>
    <col min="6" max="6" width="9.6640625" style="154" customWidth="1"/>
    <col min="7" max="7" width="9.6640625" style="255" customWidth="1"/>
    <col min="8" max="8" width="10.88671875" style="255" customWidth="1"/>
    <col min="9" max="9" width="1.66796875" style="154" customWidth="1"/>
    <col min="10" max="16384" width="9.6640625" style="154" customWidth="1"/>
  </cols>
  <sheetData>
    <row r="1" spans="1:9" ht="18">
      <c r="A1" s="151" t="s">
        <v>0</v>
      </c>
      <c r="B1" s="152"/>
      <c r="C1" s="225"/>
      <c r="D1" s="225"/>
      <c r="E1" s="225"/>
      <c r="F1" s="152"/>
      <c r="G1" s="237"/>
      <c r="H1" s="237"/>
      <c r="I1" s="153"/>
    </row>
    <row r="2" spans="1:9" ht="18.75">
      <c r="A2" s="155" t="s">
        <v>44</v>
      </c>
      <c r="B2" s="152"/>
      <c r="C2" s="225"/>
      <c r="D2" s="225"/>
      <c r="E2" s="225"/>
      <c r="F2" s="152"/>
      <c r="G2" s="237"/>
      <c r="H2" s="237"/>
      <c r="I2" s="153"/>
    </row>
    <row r="3" spans="1:9" ht="18">
      <c r="A3" s="151" t="s">
        <v>45</v>
      </c>
      <c r="B3" s="152"/>
      <c r="C3" s="225"/>
      <c r="D3" s="225"/>
      <c r="E3" s="225"/>
      <c r="F3" s="152"/>
      <c r="G3" s="237"/>
      <c r="H3" s="237"/>
      <c r="I3" s="153"/>
    </row>
    <row r="4" spans="1:9" ht="18">
      <c r="A4" s="151" t="s">
        <v>80</v>
      </c>
      <c r="B4" s="152"/>
      <c r="C4" s="225"/>
      <c r="D4" s="225"/>
      <c r="E4" s="225"/>
      <c r="F4" s="152"/>
      <c r="G4" s="237"/>
      <c r="H4" s="237"/>
      <c r="I4" s="153"/>
    </row>
    <row r="5" spans="1:9" ht="15">
      <c r="A5" s="156" t="s">
        <v>76</v>
      </c>
      <c r="B5" s="152"/>
      <c r="C5" s="225"/>
      <c r="D5" s="225"/>
      <c r="E5" s="225"/>
      <c r="F5" s="152"/>
      <c r="G5" s="237"/>
      <c r="H5" s="237"/>
      <c r="I5" s="153"/>
    </row>
    <row r="6" spans="1:9" ht="16.5" thickBot="1">
      <c r="A6" s="152"/>
      <c r="B6" s="152"/>
      <c r="C6" s="225"/>
      <c r="D6" s="225"/>
      <c r="E6" s="225"/>
      <c r="F6" s="152"/>
      <c r="G6" s="238" t="s">
        <v>46</v>
      </c>
      <c r="H6" s="238"/>
      <c r="I6" s="153"/>
    </row>
    <row r="7" spans="1:9" ht="16.5" thickTop="1">
      <c r="A7" s="157"/>
      <c r="B7" s="158" t="s">
        <v>2</v>
      </c>
      <c r="C7" s="226" t="s">
        <v>47</v>
      </c>
      <c r="D7" s="226" t="s">
        <v>33</v>
      </c>
      <c r="E7" s="226" t="s">
        <v>3</v>
      </c>
      <c r="F7" s="159"/>
      <c r="G7" s="239" t="s">
        <v>34</v>
      </c>
      <c r="H7" s="256" t="s">
        <v>34</v>
      </c>
      <c r="I7" s="160"/>
    </row>
    <row r="8" spans="1:9" ht="16.5" thickBot="1">
      <c r="A8" s="161" t="s">
        <v>5</v>
      </c>
      <c r="B8" s="162" t="s">
        <v>6</v>
      </c>
      <c r="C8" s="227" t="s">
        <v>48</v>
      </c>
      <c r="D8" s="227" t="s">
        <v>49</v>
      </c>
      <c r="E8" s="227" t="s">
        <v>49</v>
      </c>
      <c r="F8" s="163" t="s">
        <v>8</v>
      </c>
      <c r="G8" s="241" t="s">
        <v>37</v>
      </c>
      <c r="H8" s="257" t="s">
        <v>50</v>
      </c>
      <c r="I8" s="160"/>
    </row>
    <row r="9" spans="1:9" ht="15.75" customHeight="1" thickTop="1">
      <c r="A9" s="164"/>
      <c r="B9" s="165"/>
      <c r="C9" s="228"/>
      <c r="D9" s="228"/>
      <c r="E9" s="228"/>
      <c r="F9" s="166"/>
      <c r="G9" s="242"/>
      <c r="H9" s="243"/>
      <c r="I9" s="160"/>
    </row>
    <row r="10" spans="1:9" ht="15.75">
      <c r="A10" s="167" t="s">
        <v>38</v>
      </c>
      <c r="B10" s="168">
        <f>DATE(13,7,1)</f>
        <v>4931</v>
      </c>
      <c r="C10" s="229">
        <v>122703156.67</v>
      </c>
      <c r="D10" s="229">
        <v>11572743.44</v>
      </c>
      <c r="E10" s="229">
        <v>11541084.7</v>
      </c>
      <c r="F10" s="169">
        <f>(+D10-E10)/E10</f>
        <v>0.002743133840790565</v>
      </c>
      <c r="G10" s="244">
        <f>D10/C10</f>
        <v>0.09431496103334926</v>
      </c>
      <c r="H10" s="245">
        <f>1-G10</f>
        <v>0.9056850389666508</v>
      </c>
      <c r="I10" s="160"/>
    </row>
    <row r="11" spans="1:9" ht="15.75">
      <c r="A11" s="167"/>
      <c r="B11" s="168">
        <f>DATE(13,8,1)</f>
        <v>4962</v>
      </c>
      <c r="C11" s="229">
        <v>121048088.12</v>
      </c>
      <c r="D11" s="229">
        <v>11606101.87</v>
      </c>
      <c r="E11" s="229">
        <v>11710801.95</v>
      </c>
      <c r="F11" s="169">
        <f>(+D11-E11)/E11</f>
        <v>-0.00894047055419634</v>
      </c>
      <c r="G11" s="244">
        <f>D11/C11</f>
        <v>0.09588009236869886</v>
      </c>
      <c r="H11" s="245">
        <f>1-G11</f>
        <v>0.9041199076313011</v>
      </c>
      <c r="I11" s="160"/>
    </row>
    <row r="12" spans="1:9" ht="15.75">
      <c r="A12" s="167"/>
      <c r="B12" s="168">
        <f>DATE(13,9,1)</f>
        <v>4993</v>
      </c>
      <c r="C12" s="229">
        <v>108380984.55</v>
      </c>
      <c r="D12" s="229">
        <v>10314286.07</v>
      </c>
      <c r="E12" s="229">
        <v>11515904.73</v>
      </c>
      <c r="F12" s="169">
        <f>(+D12-E12)/E12</f>
        <v>-0.10434426891963355</v>
      </c>
      <c r="G12" s="244">
        <f>D12/C12</f>
        <v>0.09516693461334681</v>
      </c>
      <c r="H12" s="245">
        <f>1-G12</f>
        <v>0.9048330653866532</v>
      </c>
      <c r="I12" s="160"/>
    </row>
    <row r="13" spans="1:9" ht="15.75">
      <c r="A13" s="167"/>
      <c r="B13" s="168">
        <f>DATE(13,10,1)</f>
        <v>5023</v>
      </c>
      <c r="C13" s="229">
        <v>107935485.06</v>
      </c>
      <c r="D13" s="229">
        <v>10199198.41</v>
      </c>
      <c r="E13" s="229">
        <v>11062301.82</v>
      </c>
      <c r="F13" s="169">
        <f>(+D13-E13)/E13</f>
        <v>-0.07802204496351377</v>
      </c>
      <c r="G13" s="244">
        <f>D13/C13</f>
        <v>0.09449346898594463</v>
      </c>
      <c r="H13" s="245">
        <f>1-G13</f>
        <v>0.9055065310140553</v>
      </c>
      <c r="I13" s="160"/>
    </row>
    <row r="14" spans="1:9" ht="15.75">
      <c r="A14" s="167"/>
      <c r="B14" s="168">
        <f>DATE(13,11,1)</f>
        <v>5054</v>
      </c>
      <c r="C14" s="229">
        <v>108584504.32</v>
      </c>
      <c r="D14" s="229">
        <v>10668215.68</v>
      </c>
      <c r="E14" s="229">
        <v>11211718.15</v>
      </c>
      <c r="F14" s="169">
        <f>(+D14-E14)/E14</f>
        <v>-0.04847628728519193</v>
      </c>
      <c r="G14" s="244">
        <f>D14/C14</f>
        <v>0.0982480488059385</v>
      </c>
      <c r="H14" s="245">
        <f>1-G14</f>
        <v>0.9017519511940615</v>
      </c>
      <c r="I14" s="160"/>
    </row>
    <row r="15" spans="1:9" ht="15.75" thickBot="1">
      <c r="A15" s="170"/>
      <c r="B15" s="171"/>
      <c r="C15" s="229"/>
      <c r="D15" s="229"/>
      <c r="E15" s="229"/>
      <c r="F15" s="169"/>
      <c r="G15" s="244"/>
      <c r="H15" s="245"/>
      <c r="I15" s="160"/>
    </row>
    <row r="16" spans="1:9" ht="17.25" thickBot="1" thickTop="1">
      <c r="A16" s="172" t="s">
        <v>14</v>
      </c>
      <c r="B16" s="158"/>
      <c r="C16" s="226">
        <f>SUM(C10:C15)</f>
        <v>568652218.72</v>
      </c>
      <c r="D16" s="226">
        <f>SUM(D10:D15)</f>
        <v>54360545.47</v>
      </c>
      <c r="E16" s="226">
        <f>SUM(E10:E15)</f>
        <v>57041811.349999994</v>
      </c>
      <c r="F16" s="173">
        <f>(+D16-E16)/E16</f>
        <v>-0.04700527238779551</v>
      </c>
      <c r="G16" s="239">
        <f>D16/C16</f>
        <v>0.09559541610927348</v>
      </c>
      <c r="H16" s="240">
        <f>1-G16</f>
        <v>0.9044045838907265</v>
      </c>
      <c r="I16" s="160"/>
    </row>
    <row r="17" spans="1:9" ht="15.75" thickTop="1">
      <c r="A17" s="174"/>
      <c r="B17" s="175"/>
      <c r="C17" s="230"/>
      <c r="D17" s="230"/>
      <c r="E17" s="230"/>
      <c r="F17" s="176"/>
      <c r="G17" s="246"/>
      <c r="H17" s="247"/>
      <c r="I17" s="160"/>
    </row>
    <row r="18" spans="1:9" ht="15.75">
      <c r="A18" s="19" t="s">
        <v>51</v>
      </c>
      <c r="B18" s="168">
        <f>DATE(13,7,1)</f>
        <v>4931</v>
      </c>
      <c r="C18" s="229">
        <v>73337601.5</v>
      </c>
      <c r="D18" s="229">
        <v>5989524.29</v>
      </c>
      <c r="E18" s="229">
        <v>6959284.96</v>
      </c>
      <c r="F18" s="169">
        <f>(+D18-E18)/E18</f>
        <v>-0.13934774557643634</v>
      </c>
      <c r="G18" s="244">
        <f>D18/C18</f>
        <v>0.081670577814029</v>
      </c>
      <c r="H18" s="245">
        <f>1-G18</f>
        <v>0.918329422185971</v>
      </c>
      <c r="I18" s="160"/>
    </row>
    <row r="19" spans="1:9" ht="15.75">
      <c r="A19" s="19"/>
      <c r="B19" s="168">
        <f>DATE(13,8,1)</f>
        <v>4962</v>
      </c>
      <c r="C19" s="229">
        <v>77429227.11</v>
      </c>
      <c r="D19" s="229">
        <v>6567672.58</v>
      </c>
      <c r="E19" s="229">
        <v>6844953.8</v>
      </c>
      <c r="F19" s="169">
        <f>(+D19-E19)/E19</f>
        <v>-0.04050885193702838</v>
      </c>
      <c r="G19" s="244">
        <f>D19/C19</f>
        <v>0.084821621306766</v>
      </c>
      <c r="H19" s="245">
        <f>1-G19</f>
        <v>0.915178378693234</v>
      </c>
      <c r="I19" s="160"/>
    </row>
    <row r="20" spans="1:9" ht="15.75">
      <c r="A20" s="19"/>
      <c r="B20" s="168">
        <f>DATE(13,9,1)</f>
        <v>4993</v>
      </c>
      <c r="C20" s="229">
        <v>69006106.27</v>
      </c>
      <c r="D20" s="229">
        <v>6163226.74</v>
      </c>
      <c r="E20" s="229">
        <v>6525426.05</v>
      </c>
      <c r="F20" s="169">
        <f>(+D20-E20)/E20</f>
        <v>-0.05550584854149096</v>
      </c>
      <c r="G20" s="244">
        <f>D20/C20</f>
        <v>0.08931422265567572</v>
      </c>
      <c r="H20" s="245">
        <f>1-G20</f>
        <v>0.9106857773443243</v>
      </c>
      <c r="I20" s="160"/>
    </row>
    <row r="21" spans="1:9" ht="15.75">
      <c r="A21" s="19"/>
      <c r="B21" s="168">
        <f>DATE(13,10,1)</f>
        <v>5023</v>
      </c>
      <c r="C21" s="229">
        <v>65835190.42</v>
      </c>
      <c r="D21" s="229">
        <v>5687342.66</v>
      </c>
      <c r="E21" s="229">
        <v>6059529.78</v>
      </c>
      <c r="F21" s="169">
        <f>(+D21-E21)/E21</f>
        <v>-0.06142178246708775</v>
      </c>
      <c r="G21" s="244">
        <f>D21/C21</f>
        <v>0.08638757818906906</v>
      </c>
      <c r="H21" s="245">
        <f>1-G21</f>
        <v>0.9136124218109309</v>
      </c>
      <c r="I21" s="160"/>
    </row>
    <row r="22" spans="1:9" ht="15.75">
      <c r="A22" s="19"/>
      <c r="B22" s="168">
        <f>DATE(13,11,1)</f>
        <v>5054</v>
      </c>
      <c r="C22" s="229">
        <v>69842052.58</v>
      </c>
      <c r="D22" s="229">
        <v>6197477.62</v>
      </c>
      <c r="E22" s="229">
        <v>5937542.73</v>
      </c>
      <c r="F22" s="169">
        <f>(+D22-E22)/E22</f>
        <v>0.043778192733949325</v>
      </c>
      <c r="G22" s="244">
        <f>D22/C22</f>
        <v>0.08873561688212343</v>
      </c>
      <c r="H22" s="245">
        <f>1-G22</f>
        <v>0.9112643831178766</v>
      </c>
      <c r="I22" s="160"/>
    </row>
    <row r="23" spans="1:9" ht="15.75" thickBot="1">
      <c r="A23" s="170"/>
      <c r="B23" s="168"/>
      <c r="C23" s="229"/>
      <c r="D23" s="229"/>
      <c r="E23" s="229"/>
      <c r="F23" s="169"/>
      <c r="G23" s="244"/>
      <c r="H23" s="245"/>
      <c r="I23" s="160"/>
    </row>
    <row r="24" spans="1:9" ht="17.25" thickBot="1" thickTop="1">
      <c r="A24" s="172" t="s">
        <v>14</v>
      </c>
      <c r="B24" s="158"/>
      <c r="C24" s="226">
        <f>SUM(C18:C23)</f>
        <v>355450177.88</v>
      </c>
      <c r="D24" s="226">
        <f>SUM(D18:D23)</f>
        <v>30605243.89</v>
      </c>
      <c r="E24" s="226">
        <f>SUM(E18:E23)</f>
        <v>32326737.32</v>
      </c>
      <c r="F24" s="173">
        <f>(+D24-E24)/E24</f>
        <v>-0.05325292846472759</v>
      </c>
      <c r="G24" s="239">
        <f>D24/C24</f>
        <v>0.08610276712347668</v>
      </c>
      <c r="H24" s="240">
        <f>1-G24</f>
        <v>0.9138972328765234</v>
      </c>
      <c r="I24" s="160"/>
    </row>
    <row r="25" spans="1:9" ht="15.75" thickTop="1">
      <c r="A25" s="174"/>
      <c r="B25" s="175"/>
      <c r="C25" s="230"/>
      <c r="D25" s="230"/>
      <c r="E25" s="230"/>
      <c r="F25" s="176"/>
      <c r="G25" s="246"/>
      <c r="H25" s="247"/>
      <c r="I25" s="160"/>
    </row>
    <row r="26" spans="1:9" ht="15.75">
      <c r="A26" s="19" t="s">
        <v>61</v>
      </c>
      <c r="B26" s="168">
        <f>DATE(13,7,1)</f>
        <v>4931</v>
      </c>
      <c r="C26" s="229">
        <v>22225189.54</v>
      </c>
      <c r="D26" s="229">
        <v>2470933.68</v>
      </c>
      <c r="E26" s="229">
        <v>2868439.42</v>
      </c>
      <c r="F26" s="169">
        <f>(+D26-E26)/E26</f>
        <v>-0.13857909538839058</v>
      </c>
      <c r="G26" s="244">
        <f>D26/C26</f>
        <v>0.11117717019028853</v>
      </c>
      <c r="H26" s="245">
        <f>1-G26</f>
        <v>0.8888228298097115</v>
      </c>
      <c r="I26" s="160"/>
    </row>
    <row r="27" spans="1:9" ht="15.75">
      <c r="A27" s="19"/>
      <c r="B27" s="168">
        <f>DATE(13,8,1)</f>
        <v>4962</v>
      </c>
      <c r="C27" s="229">
        <v>22630397.29</v>
      </c>
      <c r="D27" s="229">
        <v>2466434.72</v>
      </c>
      <c r="E27" s="229">
        <v>2732934.72</v>
      </c>
      <c r="F27" s="169">
        <f>(+D27-E27)/E27</f>
        <v>-0.09751422090316156</v>
      </c>
      <c r="G27" s="244">
        <f>D27/C27</f>
        <v>0.10898768980471576</v>
      </c>
      <c r="H27" s="245">
        <f>1-G27</f>
        <v>0.8910123101952843</v>
      </c>
      <c r="I27" s="160"/>
    </row>
    <row r="28" spans="1:9" ht="15.75">
      <c r="A28" s="19"/>
      <c r="B28" s="168">
        <f>DATE(13,9,1)</f>
        <v>4993</v>
      </c>
      <c r="C28" s="229">
        <v>20376183.97</v>
      </c>
      <c r="D28" s="229">
        <v>2199194.21</v>
      </c>
      <c r="E28" s="229">
        <v>2595910.43</v>
      </c>
      <c r="F28" s="169">
        <f>(+D28-E28)/E28</f>
        <v>-0.15282353944700633</v>
      </c>
      <c r="G28" s="244">
        <f>D28/C28</f>
        <v>0.1079296404683963</v>
      </c>
      <c r="H28" s="245">
        <f>1-G28</f>
        <v>0.8920703595316037</v>
      </c>
      <c r="I28" s="160"/>
    </row>
    <row r="29" spans="1:9" ht="15.75">
      <c r="A29" s="19"/>
      <c r="B29" s="168">
        <f>DATE(13,10,1)</f>
        <v>5023</v>
      </c>
      <c r="C29" s="229">
        <v>19629134.51</v>
      </c>
      <c r="D29" s="229">
        <v>2044677.84</v>
      </c>
      <c r="E29" s="229">
        <v>2366906.62</v>
      </c>
      <c r="F29" s="169">
        <f>(+D29-E29)/E29</f>
        <v>-0.1361392026526167</v>
      </c>
      <c r="G29" s="244">
        <f>D29/C29</f>
        <v>0.10416546073176815</v>
      </c>
      <c r="H29" s="245">
        <f>1-G29</f>
        <v>0.8958345392682319</v>
      </c>
      <c r="I29" s="160"/>
    </row>
    <row r="30" spans="1:9" ht="15.75">
      <c r="A30" s="19"/>
      <c r="B30" s="168">
        <f>DATE(13,11,1)</f>
        <v>5054</v>
      </c>
      <c r="C30" s="229">
        <v>20390091.06</v>
      </c>
      <c r="D30" s="229">
        <v>2169847.31</v>
      </c>
      <c r="E30" s="229">
        <v>2262395.17</v>
      </c>
      <c r="F30" s="169">
        <f>(+D30-E30)/E30</f>
        <v>-0.04090702686569114</v>
      </c>
      <c r="G30" s="244">
        <f>D30/C30</f>
        <v>0.10641675427613319</v>
      </c>
      <c r="H30" s="245">
        <f>1-G30</f>
        <v>0.8935832457238668</v>
      </c>
      <c r="I30" s="160"/>
    </row>
    <row r="31" spans="1:9" ht="15.75" thickBot="1">
      <c r="A31" s="170"/>
      <c r="B31" s="168"/>
      <c r="C31" s="229"/>
      <c r="D31" s="229"/>
      <c r="E31" s="229"/>
      <c r="F31" s="169"/>
      <c r="G31" s="244"/>
      <c r="H31" s="245"/>
      <c r="I31" s="160"/>
    </row>
    <row r="32" spans="1:9" ht="17.25" thickBot="1" thickTop="1">
      <c r="A32" s="177" t="s">
        <v>14</v>
      </c>
      <c r="B32" s="178"/>
      <c r="C32" s="231">
        <f>SUM(C26:C31)</f>
        <v>105250996.37</v>
      </c>
      <c r="D32" s="231">
        <f>SUM(D26:D31)</f>
        <v>11351087.760000002</v>
      </c>
      <c r="E32" s="231">
        <f>SUM(E26:E31)</f>
        <v>12826586.360000001</v>
      </c>
      <c r="F32" s="179">
        <f>(+D32-E32)/E32</f>
        <v>-0.11503439485671536</v>
      </c>
      <c r="G32" s="248">
        <f>D32/C32</f>
        <v>0.10784779385932193</v>
      </c>
      <c r="H32" s="249">
        <f>1-G32</f>
        <v>0.892152206140678</v>
      </c>
      <c r="I32" s="160"/>
    </row>
    <row r="33" spans="1:9" ht="15.75" thickTop="1">
      <c r="A33" s="170"/>
      <c r="B33" s="171"/>
      <c r="C33" s="229"/>
      <c r="D33" s="229"/>
      <c r="E33" s="229"/>
      <c r="F33" s="169"/>
      <c r="G33" s="244"/>
      <c r="H33" s="245"/>
      <c r="I33" s="160"/>
    </row>
    <row r="34" spans="1:9" ht="15.75">
      <c r="A34" s="180" t="s">
        <v>74</v>
      </c>
      <c r="B34" s="168">
        <f>DATE(13,7,1)</f>
        <v>4931</v>
      </c>
      <c r="C34" s="229">
        <v>181217527.64</v>
      </c>
      <c r="D34" s="229">
        <v>17835300.09</v>
      </c>
      <c r="E34" s="229">
        <v>19825993.36</v>
      </c>
      <c r="F34" s="169">
        <f>(+D34-E34)/E34</f>
        <v>-0.10040824859834412</v>
      </c>
      <c r="G34" s="244">
        <f>D34/C34</f>
        <v>0.09841928825687847</v>
      </c>
      <c r="H34" s="245">
        <f>1-G34</f>
        <v>0.9015807117431215</v>
      </c>
      <c r="I34" s="160"/>
    </row>
    <row r="35" spans="1:9" ht="15.75">
      <c r="A35" s="180"/>
      <c r="B35" s="168">
        <f>DATE(13,8,1)</f>
        <v>4962</v>
      </c>
      <c r="C35" s="229">
        <v>181009252.46</v>
      </c>
      <c r="D35" s="229">
        <v>17319904.37</v>
      </c>
      <c r="E35" s="229">
        <v>17734989.21</v>
      </c>
      <c r="F35" s="169">
        <f>(+D35-E35)/E35</f>
        <v>-0.023404854386150475</v>
      </c>
      <c r="G35" s="244">
        <f>D35/C35</f>
        <v>0.09568518810289771</v>
      </c>
      <c r="H35" s="245">
        <f>1-G35</f>
        <v>0.9043148118971023</v>
      </c>
      <c r="I35" s="160"/>
    </row>
    <row r="36" spans="1:9" ht="15.75">
      <c r="A36" s="180"/>
      <c r="B36" s="168">
        <f>DATE(13,9,1)</f>
        <v>4993</v>
      </c>
      <c r="C36" s="229">
        <v>161364045.23</v>
      </c>
      <c r="D36" s="229">
        <v>15597210.9</v>
      </c>
      <c r="E36" s="229">
        <v>17774948.38</v>
      </c>
      <c r="F36" s="169">
        <f>(+D36-E36)/E36</f>
        <v>-0.1225172323116473</v>
      </c>
      <c r="G36" s="244">
        <f>D36/C36</f>
        <v>0.0966585268593666</v>
      </c>
      <c r="H36" s="245">
        <f>1-G36</f>
        <v>0.9033414731406334</v>
      </c>
      <c r="I36" s="160"/>
    </row>
    <row r="37" spans="1:9" ht="15.75">
      <c r="A37" s="180"/>
      <c r="B37" s="168">
        <f>DATE(13,10,1)</f>
        <v>5023</v>
      </c>
      <c r="C37" s="287">
        <v>159554135.25</v>
      </c>
      <c r="D37" s="229">
        <v>14804268.75</v>
      </c>
      <c r="E37" s="229">
        <v>16713103.25</v>
      </c>
      <c r="F37" s="169">
        <f>(+D37-E37)/E37</f>
        <v>-0.11421185350482413</v>
      </c>
      <c r="G37" s="244">
        <f>D37/C37</f>
        <v>0.09278524011178833</v>
      </c>
      <c r="H37" s="245">
        <f>1-G37</f>
        <v>0.9072147598882117</v>
      </c>
      <c r="I37" s="160"/>
    </row>
    <row r="38" spans="1:9" ht="15.75">
      <c r="A38" s="180"/>
      <c r="B38" s="168">
        <f>DATE(13,11,1)</f>
        <v>5054</v>
      </c>
      <c r="C38" s="287">
        <v>159833524.32</v>
      </c>
      <c r="D38" s="229">
        <v>15166817.13</v>
      </c>
      <c r="E38" s="229">
        <f>291842.56+14510229.24</f>
        <v>14802071.8</v>
      </c>
      <c r="F38" s="169">
        <f>(+D38-E38)/E38</f>
        <v>0.02464150525198777</v>
      </c>
      <c r="G38" s="244">
        <f>D38/C38</f>
        <v>0.09489133893859947</v>
      </c>
      <c r="H38" s="245">
        <f>1-G38</f>
        <v>0.9051086610614005</v>
      </c>
      <c r="I38" s="160"/>
    </row>
    <row r="39" spans="1:9" ht="15.75" thickBot="1">
      <c r="A39" s="170"/>
      <c r="B39" s="171"/>
      <c r="C39" s="229"/>
      <c r="D39" s="229"/>
      <c r="E39" s="229"/>
      <c r="F39" s="169"/>
      <c r="G39" s="244"/>
      <c r="H39" s="245"/>
      <c r="I39" s="160"/>
    </row>
    <row r="40" spans="1:9" ht="17.25" thickBot="1" thickTop="1">
      <c r="A40" s="177" t="s">
        <v>14</v>
      </c>
      <c r="B40" s="181"/>
      <c r="C40" s="231">
        <f>SUM(C34:C39)</f>
        <v>842978484.9000001</v>
      </c>
      <c r="D40" s="231">
        <f>SUM(D34:D39)</f>
        <v>80723501.24</v>
      </c>
      <c r="E40" s="231">
        <f>SUM(E34:E39)</f>
        <v>86851106</v>
      </c>
      <c r="F40" s="179">
        <f>(+D40-E40)/E40</f>
        <v>-0.07055298478294572</v>
      </c>
      <c r="G40" s="248">
        <f>D40/C40</f>
        <v>0.0957598594578318</v>
      </c>
      <c r="H40" s="249">
        <f>1-G40</f>
        <v>0.9042401405421682</v>
      </c>
      <c r="I40" s="160"/>
    </row>
    <row r="41" spans="1:9" ht="15.75" thickTop="1">
      <c r="A41" s="170"/>
      <c r="B41" s="171"/>
      <c r="C41" s="229"/>
      <c r="D41" s="229"/>
      <c r="E41" s="229"/>
      <c r="F41" s="169"/>
      <c r="G41" s="244"/>
      <c r="H41" s="245"/>
      <c r="I41" s="160"/>
    </row>
    <row r="42" spans="1:9" ht="15.75">
      <c r="A42" s="167" t="s">
        <v>16</v>
      </c>
      <c r="B42" s="168">
        <f>DATE(13,7,1)</f>
        <v>4931</v>
      </c>
      <c r="C42" s="229">
        <v>129200651.65</v>
      </c>
      <c r="D42" s="229">
        <v>12102747.19</v>
      </c>
      <c r="E42" s="229">
        <v>12788816.14</v>
      </c>
      <c r="F42" s="169">
        <f>(+D42-E42)/E42</f>
        <v>-0.05364600933265126</v>
      </c>
      <c r="G42" s="244">
        <f>D42/C42</f>
        <v>0.09367404138785548</v>
      </c>
      <c r="H42" s="245">
        <f>1-G42</f>
        <v>0.9063259586121445</v>
      </c>
      <c r="I42" s="160"/>
    </row>
    <row r="43" spans="1:9" ht="15.75">
      <c r="A43" s="167"/>
      <c r="B43" s="168">
        <f>DATE(13,8,1)</f>
        <v>4962</v>
      </c>
      <c r="C43" s="229">
        <v>137124547.52</v>
      </c>
      <c r="D43" s="229">
        <v>12818955.17</v>
      </c>
      <c r="E43" s="229">
        <v>13368497.03</v>
      </c>
      <c r="F43" s="169">
        <f>(+D43-E43)/E43</f>
        <v>-0.04110722834188335</v>
      </c>
      <c r="G43" s="244">
        <f>D43/C43</f>
        <v>0.09348402894915893</v>
      </c>
      <c r="H43" s="245">
        <f>1-G43</f>
        <v>0.906515971050841</v>
      </c>
      <c r="I43" s="160"/>
    </row>
    <row r="44" spans="1:9" ht="15.75">
      <c r="A44" s="167"/>
      <c r="B44" s="168">
        <f>DATE(13,9,1)</f>
        <v>4993</v>
      </c>
      <c r="C44" s="229">
        <v>124749161.94</v>
      </c>
      <c r="D44" s="229">
        <v>11559629.19</v>
      </c>
      <c r="E44" s="229">
        <v>12351231.96</v>
      </c>
      <c r="F44" s="169">
        <f>(+D44-E44)/E44</f>
        <v>-0.06409099695995032</v>
      </c>
      <c r="G44" s="244">
        <f>D44/C44</f>
        <v>0.09266298073857826</v>
      </c>
      <c r="H44" s="245">
        <f>1-G44</f>
        <v>0.9073370192614217</v>
      </c>
      <c r="I44" s="160"/>
    </row>
    <row r="45" spans="1:9" ht="15.75">
      <c r="A45" s="167"/>
      <c r="B45" s="168">
        <f>DATE(13,10,1)</f>
        <v>5023</v>
      </c>
      <c r="C45" s="229">
        <v>127544798.35</v>
      </c>
      <c r="D45" s="229">
        <v>12317052.53</v>
      </c>
      <c r="E45" s="229">
        <v>12098364.86</v>
      </c>
      <c r="F45" s="169">
        <f>(+D45-E45)/E45</f>
        <v>0.018075803840486914</v>
      </c>
      <c r="G45" s="244">
        <f>D45/C45</f>
        <v>0.09657040262983017</v>
      </c>
      <c r="H45" s="245">
        <f>1-G45</f>
        <v>0.9034295973701698</v>
      </c>
      <c r="I45" s="160"/>
    </row>
    <row r="46" spans="1:9" ht="15.75">
      <c r="A46" s="167"/>
      <c r="B46" s="168">
        <f>DATE(13,11,1)</f>
        <v>5054</v>
      </c>
      <c r="C46" s="229">
        <v>126400583.61</v>
      </c>
      <c r="D46" s="229">
        <v>12363570.88</v>
      </c>
      <c r="E46" s="229">
        <v>12984807.27</v>
      </c>
      <c r="F46" s="169">
        <f>(+D46-E46)/E46</f>
        <v>-0.04784332775083221</v>
      </c>
      <c r="G46" s="244">
        <f>D46/C46</f>
        <v>0.097812609142272</v>
      </c>
      <c r="H46" s="245">
        <f>1-G46</f>
        <v>0.902187390857728</v>
      </c>
      <c r="I46" s="160"/>
    </row>
    <row r="47" spans="1:9" ht="15.75" thickBot="1">
      <c r="A47" s="170"/>
      <c r="B47" s="168"/>
      <c r="C47" s="229"/>
      <c r="D47" s="229"/>
      <c r="E47" s="229"/>
      <c r="F47" s="169"/>
      <c r="G47" s="244"/>
      <c r="H47" s="245"/>
      <c r="I47" s="160"/>
    </row>
    <row r="48" spans="1:9" ht="17.25" thickBot="1" thickTop="1">
      <c r="A48" s="177" t="s">
        <v>14</v>
      </c>
      <c r="B48" s="178"/>
      <c r="C48" s="231">
        <f>SUM(C42:C47)</f>
        <v>645019743.07</v>
      </c>
      <c r="D48" s="233">
        <f>SUM(D42:D47)</f>
        <v>61161954.96</v>
      </c>
      <c r="E48" s="276">
        <f>SUM(E42:E47)</f>
        <v>63591717.260000005</v>
      </c>
      <c r="F48" s="277">
        <f>(+D48-E48)/E48</f>
        <v>-0.03820878574588134</v>
      </c>
      <c r="G48" s="252">
        <f>D48/C48</f>
        <v>0.0948218339316204</v>
      </c>
      <c r="H48" s="275">
        <f>1-G48</f>
        <v>0.9051781660683796</v>
      </c>
      <c r="I48" s="160"/>
    </row>
    <row r="49" spans="1:9" ht="15.75" thickTop="1">
      <c r="A49" s="170"/>
      <c r="B49" s="171"/>
      <c r="C49" s="229"/>
      <c r="D49" s="229"/>
      <c r="E49" s="229"/>
      <c r="F49" s="169"/>
      <c r="G49" s="244"/>
      <c r="H49" s="245"/>
      <c r="I49" s="160"/>
    </row>
    <row r="50" spans="1:9" ht="15.75">
      <c r="A50" s="167" t="s">
        <v>64</v>
      </c>
      <c r="B50" s="168">
        <f>DATE(13,7,1)</f>
        <v>4931</v>
      </c>
      <c r="C50" s="229">
        <v>47182311.41</v>
      </c>
      <c r="D50" s="229">
        <v>4284425.39</v>
      </c>
      <c r="E50" s="229">
        <v>0</v>
      </c>
      <c r="F50" s="169">
        <v>1</v>
      </c>
      <c r="G50" s="244">
        <f>D50/C50</f>
        <v>0.09080575457123413</v>
      </c>
      <c r="H50" s="245">
        <f>1-G50</f>
        <v>0.9091942454287658</v>
      </c>
      <c r="I50" s="160"/>
    </row>
    <row r="51" spans="1:9" ht="15.75">
      <c r="A51" s="167"/>
      <c r="B51" s="168">
        <f>DATE(13,8,1)</f>
        <v>4962</v>
      </c>
      <c r="C51" s="229">
        <v>51218942.59</v>
      </c>
      <c r="D51" s="229">
        <v>4679283.96</v>
      </c>
      <c r="E51" s="229">
        <v>0</v>
      </c>
      <c r="F51" s="169">
        <v>1</v>
      </c>
      <c r="G51" s="244">
        <f>D51/C51</f>
        <v>0.0913584647277272</v>
      </c>
      <c r="H51" s="245">
        <f>1-G51</f>
        <v>0.9086415352722728</v>
      </c>
      <c r="I51" s="160"/>
    </row>
    <row r="52" spans="1:9" ht="15.75">
      <c r="A52" s="167"/>
      <c r="B52" s="168">
        <f>DATE(13,9,1)</f>
        <v>4993</v>
      </c>
      <c r="C52" s="229">
        <v>44000763.21</v>
      </c>
      <c r="D52" s="229">
        <v>4106556.6</v>
      </c>
      <c r="E52" s="229">
        <v>0</v>
      </c>
      <c r="F52" s="169">
        <v>1</v>
      </c>
      <c r="G52" s="244">
        <f>D52/C52</f>
        <v>0.09332921295934948</v>
      </c>
      <c r="H52" s="245">
        <f>1-G52</f>
        <v>0.9066707870406505</v>
      </c>
      <c r="I52" s="160"/>
    </row>
    <row r="53" spans="1:9" ht="15.75">
      <c r="A53" s="167"/>
      <c r="B53" s="168">
        <f>DATE(13,10,1)</f>
        <v>5023</v>
      </c>
      <c r="C53" s="229">
        <v>41638301.38</v>
      </c>
      <c r="D53" s="229">
        <v>3750005.7</v>
      </c>
      <c r="E53" s="229">
        <v>537096.36</v>
      </c>
      <c r="F53" s="169">
        <f>(+D53-E53)/E53</f>
        <v>5.981997978910154</v>
      </c>
      <c r="G53" s="244">
        <f>D53/C53</f>
        <v>0.09006144765072546</v>
      </c>
      <c r="H53" s="245">
        <f>1-G53</f>
        <v>0.9099385523492746</v>
      </c>
      <c r="I53" s="160"/>
    </row>
    <row r="54" spans="1:9" ht="15.75">
      <c r="A54" s="167"/>
      <c r="B54" s="168">
        <f>DATE(13,11,1)</f>
        <v>5054</v>
      </c>
      <c r="C54" s="229">
        <v>44543111.79</v>
      </c>
      <c r="D54" s="229">
        <v>4135894.29</v>
      </c>
      <c r="E54" s="229">
        <v>4625917.73</v>
      </c>
      <c r="F54" s="169">
        <f>(+D54-E54)/E54</f>
        <v>-0.10592999456564058</v>
      </c>
      <c r="G54" s="244">
        <f>D54/C54</f>
        <v>0.09285148979933897</v>
      </c>
      <c r="H54" s="245">
        <f>1-G54</f>
        <v>0.907148510200661</v>
      </c>
      <c r="I54" s="160"/>
    </row>
    <row r="55" spans="1:9" ht="15.75" thickBot="1">
      <c r="A55" s="170"/>
      <c r="B55" s="168"/>
      <c r="C55" s="229"/>
      <c r="D55" s="229"/>
      <c r="E55" s="229"/>
      <c r="F55" s="169"/>
      <c r="G55" s="244"/>
      <c r="H55" s="245"/>
      <c r="I55" s="160"/>
    </row>
    <row r="56" spans="1:9" ht="17.25" thickBot="1" thickTop="1">
      <c r="A56" s="177" t="s">
        <v>14</v>
      </c>
      <c r="B56" s="178"/>
      <c r="C56" s="231">
        <f>SUM(C50:C55)</f>
        <v>228583430.38</v>
      </c>
      <c r="D56" s="233">
        <f>SUM(D50:D55)</f>
        <v>20956165.939999998</v>
      </c>
      <c r="E56" s="276">
        <f>SUM(E50:E55)</f>
        <v>5163014.090000001</v>
      </c>
      <c r="F56" s="277">
        <f>(+D56-E56)/E56</f>
        <v>3.0589015591859434</v>
      </c>
      <c r="G56" s="252">
        <f>D56/C56</f>
        <v>0.09167841214545693</v>
      </c>
      <c r="H56" s="275">
        <f>1-G56</f>
        <v>0.9083215878545431</v>
      </c>
      <c r="I56" s="160"/>
    </row>
    <row r="57" spans="1:9" ht="15.75" thickTop="1">
      <c r="A57" s="170"/>
      <c r="B57" s="171"/>
      <c r="C57" s="229"/>
      <c r="D57" s="229"/>
      <c r="E57" s="229"/>
      <c r="F57" s="169"/>
      <c r="G57" s="244"/>
      <c r="H57" s="245"/>
      <c r="I57" s="160"/>
    </row>
    <row r="58" spans="1:9" ht="15.75">
      <c r="A58" s="167" t="s">
        <v>17</v>
      </c>
      <c r="B58" s="168">
        <f>DATE(13,7,1)</f>
        <v>4931</v>
      </c>
      <c r="C58" s="229">
        <v>62332097.08</v>
      </c>
      <c r="D58" s="229">
        <v>6162329.23</v>
      </c>
      <c r="E58" s="229">
        <v>6324180.84</v>
      </c>
      <c r="F58" s="169">
        <f>(+D58-E58)/E58</f>
        <v>-0.02559250187412405</v>
      </c>
      <c r="G58" s="244">
        <f>D58/C58</f>
        <v>0.09886285747920484</v>
      </c>
      <c r="H58" s="245">
        <f>1-G58</f>
        <v>0.9011371425207951</v>
      </c>
      <c r="I58" s="160"/>
    </row>
    <row r="59" spans="1:9" ht="15.75">
      <c r="A59" s="167"/>
      <c r="B59" s="168">
        <f>DATE(13,8,1)</f>
        <v>4962</v>
      </c>
      <c r="C59" s="229">
        <v>62976730.04</v>
      </c>
      <c r="D59" s="229">
        <v>6150694.94</v>
      </c>
      <c r="E59" s="229">
        <v>6447033.37</v>
      </c>
      <c r="F59" s="169">
        <f>(+D59-E59)/E59</f>
        <v>-0.04596508393751337</v>
      </c>
      <c r="G59" s="244">
        <f>D59/C59</f>
        <v>0.09766615281697469</v>
      </c>
      <c r="H59" s="245">
        <f>1-G59</f>
        <v>0.9023338471830253</v>
      </c>
      <c r="I59" s="160"/>
    </row>
    <row r="60" spans="1:9" ht="15.75">
      <c r="A60" s="167"/>
      <c r="B60" s="168">
        <f>DATE(13,9,1)</f>
        <v>4993</v>
      </c>
      <c r="C60" s="229">
        <v>59419520.33</v>
      </c>
      <c r="D60" s="229">
        <v>5751750.32</v>
      </c>
      <c r="E60" s="229">
        <v>6027376.39</v>
      </c>
      <c r="F60" s="169">
        <f>(+D60-E60)/E60</f>
        <v>-0.04572902904442631</v>
      </c>
      <c r="G60" s="244">
        <f>D60/C60</f>
        <v>0.0967990028875415</v>
      </c>
      <c r="H60" s="245">
        <f>1-G60</f>
        <v>0.9032009971124585</v>
      </c>
      <c r="I60" s="160"/>
    </row>
    <row r="61" spans="1:9" ht="15.75">
      <c r="A61" s="167"/>
      <c r="B61" s="168">
        <f>DATE(13,10,1)</f>
        <v>5023</v>
      </c>
      <c r="C61" s="229">
        <v>59168598.68</v>
      </c>
      <c r="D61" s="229">
        <v>5712648.26</v>
      </c>
      <c r="E61" s="229">
        <v>6038548.87</v>
      </c>
      <c r="F61" s="169">
        <f>(+D61-E61)/E61</f>
        <v>-0.05397002111204249</v>
      </c>
      <c r="G61" s="244">
        <f>D61/C61</f>
        <v>0.09654864890236065</v>
      </c>
      <c r="H61" s="245">
        <f>1-G61</f>
        <v>0.9034513510976394</v>
      </c>
      <c r="I61" s="160"/>
    </row>
    <row r="62" spans="1:9" ht="15.75">
      <c r="A62" s="167"/>
      <c r="B62" s="168">
        <f>DATE(13,11,1)</f>
        <v>5054</v>
      </c>
      <c r="C62" s="229">
        <v>58124971.14</v>
      </c>
      <c r="D62" s="229">
        <v>5648709.01</v>
      </c>
      <c r="E62" s="229">
        <v>5972750.94</v>
      </c>
      <c r="F62" s="169">
        <f>(+D62-E62)/E62</f>
        <v>-0.05425338060387976</v>
      </c>
      <c r="G62" s="244">
        <f>D62/C62</f>
        <v>0.09718213874712299</v>
      </c>
      <c r="H62" s="245">
        <f>1-G62</f>
        <v>0.902817861252877</v>
      </c>
      <c r="I62" s="160"/>
    </row>
    <row r="63" spans="1:9" ht="15.75" thickBot="1">
      <c r="A63" s="170"/>
      <c r="B63" s="168"/>
      <c r="C63" s="229"/>
      <c r="D63" s="229"/>
      <c r="E63" s="229"/>
      <c r="F63" s="169"/>
      <c r="G63" s="244"/>
      <c r="H63" s="245"/>
      <c r="I63" s="160"/>
    </row>
    <row r="64" spans="1:9" ht="17.25" thickBot="1" thickTop="1">
      <c r="A64" s="177" t="s">
        <v>14</v>
      </c>
      <c r="B64" s="178"/>
      <c r="C64" s="231">
        <f>SUM(C58:C63)</f>
        <v>302021917.27</v>
      </c>
      <c r="D64" s="233">
        <f>SUM(D58:D63)</f>
        <v>29426131.759999998</v>
      </c>
      <c r="E64" s="276">
        <f>SUM(E58:E63)</f>
        <v>30809890.410000004</v>
      </c>
      <c r="F64" s="277">
        <f>(+D64-E64)/E64</f>
        <v>-0.044912806621047824</v>
      </c>
      <c r="G64" s="252">
        <f>D64/C64</f>
        <v>0.09743045149168356</v>
      </c>
      <c r="H64" s="275">
        <f>1-G64</f>
        <v>0.9025695485083165</v>
      </c>
      <c r="I64" s="160"/>
    </row>
    <row r="65" spans="1:9" ht="15.75" thickTop="1">
      <c r="A65" s="170"/>
      <c r="B65" s="171"/>
      <c r="C65" s="229"/>
      <c r="D65" s="229"/>
      <c r="E65" s="229"/>
      <c r="F65" s="169"/>
      <c r="G65" s="244"/>
      <c r="H65" s="245"/>
      <c r="I65" s="160"/>
    </row>
    <row r="66" spans="1:9" ht="15.75">
      <c r="A66" s="167" t="s">
        <v>57</v>
      </c>
      <c r="B66" s="168">
        <f>DATE(13,7,1)</f>
        <v>4931</v>
      </c>
      <c r="C66" s="229">
        <v>98729191.73</v>
      </c>
      <c r="D66" s="229">
        <v>9316238.5</v>
      </c>
      <c r="E66" s="229">
        <v>11491646.66</v>
      </c>
      <c r="F66" s="169">
        <f>(+D66-E66)/E66</f>
        <v>-0.18930343269012417</v>
      </c>
      <c r="G66" s="244">
        <f>D66/C66</f>
        <v>0.09436153924441734</v>
      </c>
      <c r="H66" s="245">
        <f>1-G66</f>
        <v>0.9056384607555826</v>
      </c>
      <c r="I66" s="160"/>
    </row>
    <row r="67" spans="1:9" ht="15.75">
      <c r="A67" s="167"/>
      <c r="B67" s="168">
        <f>DATE(13,8,1)</f>
        <v>4962</v>
      </c>
      <c r="C67" s="229">
        <v>103454542.1</v>
      </c>
      <c r="D67" s="229">
        <v>9960399.32</v>
      </c>
      <c r="E67" s="229">
        <v>11183918.93</v>
      </c>
      <c r="F67" s="169">
        <f>(+D67-E67)/E67</f>
        <v>-0.10939989977198444</v>
      </c>
      <c r="G67" s="244">
        <f>D67/C67</f>
        <v>0.09627802818335611</v>
      </c>
      <c r="H67" s="245">
        <f>1-G67</f>
        <v>0.9037219718166439</v>
      </c>
      <c r="I67" s="160"/>
    </row>
    <row r="68" spans="1:9" ht="15.75">
      <c r="A68" s="167"/>
      <c r="B68" s="168">
        <f>DATE(13,9,1)</f>
        <v>4993</v>
      </c>
      <c r="C68" s="229">
        <v>96452544.58</v>
      </c>
      <c r="D68" s="229">
        <v>9113118.4</v>
      </c>
      <c r="E68" s="229">
        <v>10946827.14</v>
      </c>
      <c r="F68" s="169">
        <f>(+D68-E68)/E68</f>
        <v>-0.16751052305371472</v>
      </c>
      <c r="G68" s="244">
        <f>D68/C68</f>
        <v>0.09448292359401018</v>
      </c>
      <c r="H68" s="245">
        <f>1-G68</f>
        <v>0.9055170764059898</v>
      </c>
      <c r="I68" s="160"/>
    </row>
    <row r="69" spans="1:9" ht="15.75">
      <c r="A69" s="167"/>
      <c r="B69" s="168">
        <f>DATE(13,10,1)</f>
        <v>5023</v>
      </c>
      <c r="C69" s="229">
        <v>98519368.58</v>
      </c>
      <c r="D69" s="229">
        <v>8872089.6</v>
      </c>
      <c r="E69" s="229">
        <v>10198754.72</v>
      </c>
      <c r="F69" s="169">
        <f>(+D69-E69)/E69</f>
        <v>-0.13008108895867249</v>
      </c>
      <c r="G69" s="244">
        <f>D69/C69</f>
        <v>0.09005426778385875</v>
      </c>
      <c r="H69" s="245">
        <f>1-G69</f>
        <v>0.9099457322161413</v>
      </c>
      <c r="I69" s="160"/>
    </row>
    <row r="70" spans="1:9" ht="15.75">
      <c r="A70" s="167"/>
      <c r="B70" s="168">
        <f>DATE(13,11,1)</f>
        <v>5054</v>
      </c>
      <c r="C70" s="229">
        <v>102539394.31</v>
      </c>
      <c r="D70" s="229">
        <v>9320105.3</v>
      </c>
      <c r="E70" s="229">
        <v>10388200.58</v>
      </c>
      <c r="F70" s="169">
        <f>(+D70-E70)/E70</f>
        <v>-0.10281812252031038</v>
      </c>
      <c r="G70" s="244">
        <f>D70/C70</f>
        <v>0.09089292327808368</v>
      </c>
      <c r="H70" s="245">
        <f>1-G70</f>
        <v>0.9091070767219163</v>
      </c>
      <c r="I70" s="160"/>
    </row>
    <row r="71" spans="1:9" ht="15.75" thickBot="1">
      <c r="A71" s="170"/>
      <c r="B71" s="168"/>
      <c r="C71" s="229"/>
      <c r="D71" s="229"/>
      <c r="E71" s="229"/>
      <c r="F71" s="169"/>
      <c r="G71" s="244"/>
      <c r="H71" s="245"/>
      <c r="I71" s="160"/>
    </row>
    <row r="72" spans="1:9" ht="17.25" thickBot="1" thickTop="1">
      <c r="A72" s="177" t="s">
        <v>14</v>
      </c>
      <c r="B72" s="178"/>
      <c r="C72" s="231">
        <f>SUM(C66:C71)</f>
        <v>499695041.29999995</v>
      </c>
      <c r="D72" s="233">
        <f>SUM(D66:D71)</f>
        <v>46581951.120000005</v>
      </c>
      <c r="E72" s="276">
        <f>SUM(E66:E71)</f>
        <v>54209348.03</v>
      </c>
      <c r="F72" s="179">
        <f>(+D72-E72)/E72</f>
        <v>-0.14070261287368588</v>
      </c>
      <c r="G72" s="252">
        <f>D72/C72</f>
        <v>0.09322075920307919</v>
      </c>
      <c r="H72" s="275">
        <f>1-G72</f>
        <v>0.9067792407969208</v>
      </c>
      <c r="I72" s="160"/>
    </row>
    <row r="73" spans="1:9" ht="15.75" thickTop="1">
      <c r="A73" s="170"/>
      <c r="B73" s="182"/>
      <c r="C73" s="232"/>
      <c r="D73" s="232"/>
      <c r="E73" s="232"/>
      <c r="F73" s="183"/>
      <c r="G73" s="250"/>
      <c r="H73" s="251"/>
      <c r="I73" s="160"/>
    </row>
    <row r="74" spans="1:9" ht="15.75">
      <c r="A74" s="167" t="s">
        <v>18</v>
      </c>
      <c r="B74" s="168">
        <f>DATE(13,7,1)</f>
        <v>4931</v>
      </c>
      <c r="C74" s="229">
        <v>165775231.8</v>
      </c>
      <c r="D74" s="229">
        <v>15123973.77</v>
      </c>
      <c r="E74" s="229">
        <v>16723208.79</v>
      </c>
      <c r="F74" s="169">
        <f>(+D74-E74)/E74</f>
        <v>-0.09562967490762278</v>
      </c>
      <c r="G74" s="244">
        <f>D74/C74</f>
        <v>0.09123180589634983</v>
      </c>
      <c r="H74" s="245">
        <f>1-G74</f>
        <v>0.9087681941036502</v>
      </c>
      <c r="I74" s="160"/>
    </row>
    <row r="75" spans="1:9" ht="15.75">
      <c r="A75" s="167"/>
      <c r="B75" s="168">
        <f>DATE(13,8,1)</f>
        <v>4962</v>
      </c>
      <c r="C75" s="229">
        <v>181572635.48</v>
      </c>
      <c r="D75" s="229">
        <v>16093372.8</v>
      </c>
      <c r="E75" s="229">
        <v>16065508.68</v>
      </c>
      <c r="F75" s="169">
        <f>(+D75-E75)/E75</f>
        <v>0.0017344063331582629</v>
      </c>
      <c r="G75" s="244">
        <f>D75/C75</f>
        <v>0.08863325003492978</v>
      </c>
      <c r="H75" s="245">
        <f>1-G75</f>
        <v>0.9113667499650702</v>
      </c>
      <c r="I75" s="160"/>
    </row>
    <row r="76" spans="1:9" ht="15.75">
      <c r="A76" s="167"/>
      <c r="B76" s="168">
        <f>DATE(13,9,1)</f>
        <v>4993</v>
      </c>
      <c r="C76" s="229">
        <v>158470414.28</v>
      </c>
      <c r="D76" s="229">
        <v>14433081.53</v>
      </c>
      <c r="E76" s="229">
        <v>15233709.1</v>
      </c>
      <c r="F76" s="169">
        <f>(+D76-E76)/E76</f>
        <v>-0.052556312106550616</v>
      </c>
      <c r="G76" s="244">
        <f>D76/C76</f>
        <v>0.09107745187375046</v>
      </c>
      <c r="H76" s="245">
        <f>1-G76</f>
        <v>0.9089225481262495</v>
      </c>
      <c r="I76" s="160"/>
    </row>
    <row r="77" spans="1:9" ht="15.75">
      <c r="A77" s="167"/>
      <c r="B77" s="168">
        <f>DATE(13,10,1)</f>
        <v>5023</v>
      </c>
      <c r="C77" s="229">
        <v>158313862.19</v>
      </c>
      <c r="D77" s="229">
        <v>14186944.14</v>
      </c>
      <c r="E77" s="229">
        <v>15608902.37</v>
      </c>
      <c r="F77" s="169">
        <f>(+D77-E77)/E77</f>
        <v>-0.09109918149869231</v>
      </c>
      <c r="G77" s="244">
        <f>D77/C77</f>
        <v>0.08961277265141554</v>
      </c>
      <c r="H77" s="245">
        <f>1-G77</f>
        <v>0.9103872273485845</v>
      </c>
      <c r="I77" s="160"/>
    </row>
    <row r="78" spans="1:9" ht="15.75">
      <c r="A78" s="167"/>
      <c r="B78" s="168">
        <f>DATE(13,11,1)</f>
        <v>5054</v>
      </c>
      <c r="C78" s="229">
        <v>162491791.52</v>
      </c>
      <c r="D78" s="229">
        <v>14454416.22</v>
      </c>
      <c r="E78" s="229">
        <v>15873918.34</v>
      </c>
      <c r="F78" s="169">
        <f>(+D78-E78)/E78</f>
        <v>-0.08942354934654397</v>
      </c>
      <c r="G78" s="244">
        <f>D78/C78</f>
        <v>0.0889547470969997</v>
      </c>
      <c r="H78" s="245">
        <f>1-G78</f>
        <v>0.9110452529030003</v>
      </c>
      <c r="I78" s="160"/>
    </row>
    <row r="79" spans="1:9" ht="15.75" customHeight="1" thickBot="1">
      <c r="A79" s="167"/>
      <c r="B79" s="168"/>
      <c r="C79" s="229"/>
      <c r="D79" s="229"/>
      <c r="E79" s="229"/>
      <c r="F79" s="169"/>
      <c r="G79" s="244"/>
      <c r="H79" s="245"/>
      <c r="I79" s="160"/>
    </row>
    <row r="80" spans="1:9" ht="17.25" thickBot="1" thickTop="1">
      <c r="A80" s="177" t="s">
        <v>14</v>
      </c>
      <c r="B80" s="184"/>
      <c r="C80" s="231">
        <f>SUM(C74:C79)</f>
        <v>826623935.27</v>
      </c>
      <c r="D80" s="231">
        <f>SUM(D74:D79)</f>
        <v>74291788.46000001</v>
      </c>
      <c r="E80" s="231">
        <f>SUM(E74:E79)</f>
        <v>79505247.28</v>
      </c>
      <c r="F80" s="179">
        <f>(+D80-E80)/E80</f>
        <v>-0.06557377026499064</v>
      </c>
      <c r="G80" s="248">
        <f>D80/C80</f>
        <v>0.08987374462576395</v>
      </c>
      <c r="H80" s="249">
        <f>1-G80</f>
        <v>0.9101262553742361</v>
      </c>
      <c r="I80" s="160"/>
    </row>
    <row r="81" spans="1:9" ht="15.75" thickTop="1">
      <c r="A81" s="174"/>
      <c r="B81" s="175"/>
      <c r="C81" s="230"/>
      <c r="D81" s="230"/>
      <c r="E81" s="230"/>
      <c r="F81" s="176"/>
      <c r="G81" s="246"/>
      <c r="H81" s="247"/>
      <c r="I81" s="160"/>
    </row>
    <row r="82" spans="1:9" ht="15.75">
      <c r="A82" s="167" t="s">
        <v>59</v>
      </c>
      <c r="B82" s="168">
        <f>DATE(13,7,1)</f>
        <v>4931</v>
      </c>
      <c r="C82" s="229">
        <v>168023635.37</v>
      </c>
      <c r="D82" s="229">
        <v>14863761.06</v>
      </c>
      <c r="E82" s="229">
        <v>16138075.07</v>
      </c>
      <c r="F82" s="169">
        <f>(+D82-E82)/E82</f>
        <v>-0.07896319756058737</v>
      </c>
      <c r="G82" s="244">
        <f>D82/C82</f>
        <v>0.08846232273970826</v>
      </c>
      <c r="H82" s="245">
        <f>1-G82</f>
        <v>0.9115376772602918</v>
      </c>
      <c r="I82" s="160"/>
    </row>
    <row r="83" spans="1:9" ht="15.75">
      <c r="A83" s="167"/>
      <c r="B83" s="168">
        <f>DATE(13,8,1)</f>
        <v>4962</v>
      </c>
      <c r="C83" s="229">
        <v>178672910.07</v>
      </c>
      <c r="D83" s="229">
        <v>16316843.81</v>
      </c>
      <c r="E83" s="229">
        <v>16301867.17</v>
      </c>
      <c r="F83" s="169">
        <f>(+D83-E83)/E83</f>
        <v>0.000918707031766386</v>
      </c>
      <c r="G83" s="244">
        <f>D83/C83</f>
        <v>0.09132242713015326</v>
      </c>
      <c r="H83" s="245">
        <f>1-G83</f>
        <v>0.9086775728698467</v>
      </c>
      <c r="I83" s="160"/>
    </row>
    <row r="84" spans="1:9" ht="15.75">
      <c r="A84" s="167"/>
      <c r="B84" s="168">
        <f>DATE(13,9,1)</f>
        <v>4993</v>
      </c>
      <c r="C84" s="229">
        <v>175135448.74</v>
      </c>
      <c r="D84" s="229">
        <v>15465402.22</v>
      </c>
      <c r="E84" s="229">
        <v>15059686.71</v>
      </c>
      <c r="F84" s="169">
        <f>(+D84-E84)/E84</f>
        <v>0.02694050134061519</v>
      </c>
      <c r="G84" s="244">
        <f>D84/C84</f>
        <v>0.08830537924369268</v>
      </c>
      <c r="H84" s="245">
        <f>1-G84</f>
        <v>0.9116946207563074</v>
      </c>
      <c r="I84" s="160"/>
    </row>
    <row r="85" spans="1:9" ht="15.75">
      <c r="A85" s="167"/>
      <c r="B85" s="168">
        <f>DATE(13,10,1)</f>
        <v>5023</v>
      </c>
      <c r="C85" s="229">
        <v>171901639.98</v>
      </c>
      <c r="D85" s="229">
        <v>15048636.17</v>
      </c>
      <c r="E85" s="229">
        <v>14033296.77</v>
      </c>
      <c r="F85" s="169">
        <f>(+D85-E85)/E85</f>
        <v>0.0723521647579324</v>
      </c>
      <c r="G85" s="244">
        <f>D85/C85</f>
        <v>0.08754213265068816</v>
      </c>
      <c r="H85" s="245">
        <f>1-G85</f>
        <v>0.9124578673493118</v>
      </c>
      <c r="I85" s="160"/>
    </row>
    <row r="86" spans="1:9" ht="15.75">
      <c r="A86" s="167"/>
      <c r="B86" s="168">
        <f>DATE(13,11,1)</f>
        <v>5054</v>
      </c>
      <c r="C86" s="229">
        <v>173207189.75</v>
      </c>
      <c r="D86" s="229">
        <v>15888829.39</v>
      </c>
      <c r="E86" s="229">
        <v>14754518.63</v>
      </c>
      <c r="F86" s="169">
        <f>(+D86-E86)/E86</f>
        <v>0.07687887273351186</v>
      </c>
      <c r="G86" s="244">
        <f>D86/C86</f>
        <v>0.0917330822867877</v>
      </c>
      <c r="H86" s="245">
        <f>1-G86</f>
        <v>0.9082669177132123</v>
      </c>
      <c r="I86" s="160"/>
    </row>
    <row r="87" spans="1:9" ht="15.75" thickBot="1">
      <c r="A87" s="170"/>
      <c r="B87" s="171"/>
      <c r="C87" s="229"/>
      <c r="D87" s="229"/>
      <c r="E87" s="229"/>
      <c r="F87" s="169"/>
      <c r="G87" s="244"/>
      <c r="H87" s="245"/>
      <c r="I87" s="160"/>
    </row>
    <row r="88" spans="1:9" ht="17.25" thickBot="1" thickTop="1">
      <c r="A88" s="177" t="s">
        <v>14</v>
      </c>
      <c r="B88" s="178"/>
      <c r="C88" s="231">
        <f>SUM(C82:C87)</f>
        <v>866940823.91</v>
      </c>
      <c r="D88" s="231">
        <f>SUM(D82:D87)</f>
        <v>77583472.65</v>
      </c>
      <c r="E88" s="231">
        <f>SUM(E82:E87)</f>
        <v>76287444.35</v>
      </c>
      <c r="F88" s="179">
        <f>(+D88-E88)/E88</f>
        <v>0.016988749735198226</v>
      </c>
      <c r="G88" s="252">
        <f>D88/C88</f>
        <v>0.08949108233257476</v>
      </c>
      <c r="H88" s="275">
        <f>1-G88</f>
        <v>0.9105089176674253</v>
      </c>
      <c r="I88" s="160"/>
    </row>
    <row r="89" spans="1:9" ht="15.75" thickTop="1">
      <c r="A89" s="170"/>
      <c r="B89" s="171"/>
      <c r="C89" s="229"/>
      <c r="D89" s="229"/>
      <c r="E89" s="229"/>
      <c r="F89" s="169"/>
      <c r="G89" s="244"/>
      <c r="H89" s="245"/>
      <c r="I89" s="160"/>
    </row>
    <row r="90" spans="1:9" ht="15.75">
      <c r="A90" s="167" t="s">
        <v>60</v>
      </c>
      <c r="B90" s="168">
        <f>DATE(13,7,1)</f>
        <v>4931</v>
      </c>
      <c r="C90" s="229">
        <v>29928297.84</v>
      </c>
      <c r="D90" s="229">
        <v>2770760.02</v>
      </c>
      <c r="E90" s="229">
        <v>3163344.09</v>
      </c>
      <c r="F90" s="169">
        <f>(+D90-E90)/E90</f>
        <v>-0.12410413120755379</v>
      </c>
      <c r="G90" s="244">
        <f>D90/C90</f>
        <v>0.09257994005582243</v>
      </c>
      <c r="H90" s="245">
        <f>1-G90</f>
        <v>0.9074200599441775</v>
      </c>
      <c r="I90" s="160"/>
    </row>
    <row r="91" spans="1:9" ht="15.75">
      <c r="A91" s="167"/>
      <c r="B91" s="168">
        <f>DATE(13,8,1)</f>
        <v>4962</v>
      </c>
      <c r="C91" s="229">
        <v>31780989.75</v>
      </c>
      <c r="D91" s="229">
        <v>2848021.81</v>
      </c>
      <c r="E91" s="229">
        <v>3047645.81</v>
      </c>
      <c r="F91" s="169">
        <f>(+D91-E91)/E91</f>
        <v>-0.06550104980867183</v>
      </c>
      <c r="G91" s="244">
        <f>D91/C91</f>
        <v>0.08961400612137953</v>
      </c>
      <c r="H91" s="245">
        <f>1-G91</f>
        <v>0.9103859938786205</v>
      </c>
      <c r="I91" s="160"/>
    </row>
    <row r="92" spans="1:9" ht="15.75">
      <c r="A92" s="167"/>
      <c r="B92" s="168">
        <f>DATE(13,9,1)</f>
        <v>4993</v>
      </c>
      <c r="C92" s="229">
        <v>29385375.21</v>
      </c>
      <c r="D92" s="229">
        <v>2655877.31</v>
      </c>
      <c r="E92" s="229">
        <v>2905512.2</v>
      </c>
      <c r="F92" s="169">
        <f>(+D92-E92)/E92</f>
        <v>-0.08591768776603317</v>
      </c>
      <c r="G92" s="244">
        <f>D92/C92</f>
        <v>0.09038092217710363</v>
      </c>
      <c r="H92" s="245">
        <f>1-G92</f>
        <v>0.9096190778228964</v>
      </c>
      <c r="I92" s="160"/>
    </row>
    <row r="93" spans="1:9" ht="15.75">
      <c r="A93" s="167"/>
      <c r="B93" s="168">
        <f>DATE(13,10,1)</f>
        <v>5023</v>
      </c>
      <c r="C93" s="229">
        <v>28476250.3</v>
      </c>
      <c r="D93" s="229">
        <v>2691489.37</v>
      </c>
      <c r="E93" s="229">
        <v>2862454.5</v>
      </c>
      <c r="F93" s="169">
        <f>(+D93-E93)/E93</f>
        <v>-0.05972675897555747</v>
      </c>
      <c r="G93" s="244">
        <f>D93/C93</f>
        <v>0.09451698666941413</v>
      </c>
      <c r="H93" s="245">
        <f>1-G93</f>
        <v>0.9054830133305859</v>
      </c>
      <c r="I93" s="160"/>
    </row>
    <row r="94" spans="1:9" ht="15.75">
      <c r="A94" s="167"/>
      <c r="B94" s="168">
        <f>DATE(13,11,1)</f>
        <v>5054</v>
      </c>
      <c r="C94" s="229">
        <v>31709912.65</v>
      </c>
      <c r="D94" s="229">
        <v>2901304.87</v>
      </c>
      <c r="E94" s="229">
        <v>2947411.58</v>
      </c>
      <c r="F94" s="169">
        <f>(+D94-E94)/E94</f>
        <v>-0.015643118970171097</v>
      </c>
      <c r="G94" s="244">
        <f>D94/C94</f>
        <v>0.09149520221084557</v>
      </c>
      <c r="H94" s="245">
        <f>1-G94</f>
        <v>0.9085047977891544</v>
      </c>
      <c r="I94" s="160"/>
    </row>
    <row r="95" spans="1:9" ht="15.75" thickBot="1">
      <c r="A95" s="170"/>
      <c r="B95" s="171"/>
      <c r="C95" s="229"/>
      <c r="D95" s="229"/>
      <c r="E95" s="229"/>
      <c r="F95" s="169"/>
      <c r="G95" s="244"/>
      <c r="H95" s="245"/>
      <c r="I95" s="160"/>
    </row>
    <row r="96" spans="1:9" ht="17.25" thickBot="1" thickTop="1">
      <c r="A96" s="185" t="s">
        <v>14</v>
      </c>
      <c r="B96" s="186"/>
      <c r="C96" s="233">
        <f>SUM(C90:C95)</f>
        <v>151280825.75</v>
      </c>
      <c r="D96" s="233">
        <f>SUM(D90:D95)</f>
        <v>13867453.380000003</v>
      </c>
      <c r="E96" s="233">
        <f>SUM(E90:E95)</f>
        <v>14926368.180000002</v>
      </c>
      <c r="F96" s="179">
        <f>(+D96-E96)/E96</f>
        <v>-0.07094256199702015</v>
      </c>
      <c r="G96" s="252">
        <f>D96/C96</f>
        <v>0.09166695984933836</v>
      </c>
      <c r="H96" s="249">
        <f>1-G96</f>
        <v>0.9083330401506616</v>
      </c>
      <c r="I96" s="160"/>
    </row>
    <row r="97" spans="1:9" ht="15.75" thickTop="1">
      <c r="A97" s="170"/>
      <c r="B97" s="171"/>
      <c r="C97" s="229"/>
      <c r="D97" s="229"/>
      <c r="E97" s="229"/>
      <c r="F97" s="169"/>
      <c r="G97" s="244"/>
      <c r="H97" s="245"/>
      <c r="I97" s="160"/>
    </row>
    <row r="98" spans="1:9" ht="15.75">
      <c r="A98" s="167" t="s">
        <v>40</v>
      </c>
      <c r="B98" s="168">
        <f>DATE(13,7,1)</f>
        <v>4931</v>
      </c>
      <c r="C98" s="229">
        <v>206718365.87</v>
      </c>
      <c r="D98" s="229">
        <v>19237476.19</v>
      </c>
      <c r="E98" s="229">
        <v>22090527.91</v>
      </c>
      <c r="F98" s="169">
        <f>(+D98-E98)/E98</f>
        <v>-0.12915271792615113</v>
      </c>
      <c r="G98" s="244">
        <f>D98/C98</f>
        <v>0.09306128223796993</v>
      </c>
      <c r="H98" s="245">
        <f>1-G98</f>
        <v>0.9069387177620301</v>
      </c>
      <c r="I98" s="160"/>
    </row>
    <row r="99" spans="1:9" ht="15.75">
      <c r="A99" s="167"/>
      <c r="B99" s="168">
        <f>DATE(13,8,1)</f>
        <v>4962</v>
      </c>
      <c r="C99" s="229">
        <v>210570565.71</v>
      </c>
      <c r="D99" s="229">
        <v>19935300.81</v>
      </c>
      <c r="E99" s="229">
        <v>21449923.71</v>
      </c>
      <c r="F99" s="169">
        <f>(+D99-E99)/E99</f>
        <v>-0.07061204135163808</v>
      </c>
      <c r="G99" s="244">
        <f>D99/C99</f>
        <v>0.09467277984832459</v>
      </c>
      <c r="H99" s="245">
        <f>1-G99</f>
        <v>0.9053272201516754</v>
      </c>
      <c r="I99" s="160"/>
    </row>
    <row r="100" spans="1:9" ht="15.75">
      <c r="A100" s="167"/>
      <c r="B100" s="168">
        <f>DATE(13,9,1)</f>
        <v>4993</v>
      </c>
      <c r="C100" s="229">
        <v>194333818.07</v>
      </c>
      <c r="D100" s="229">
        <v>18326968.42</v>
      </c>
      <c r="E100" s="229">
        <v>20533324.03</v>
      </c>
      <c r="F100" s="169">
        <f>(+D100-E100)/E100</f>
        <v>-0.10745243228891856</v>
      </c>
      <c r="G100" s="244">
        <f>D100/C100</f>
        <v>0.09430663485136971</v>
      </c>
      <c r="H100" s="245">
        <f>1-G100</f>
        <v>0.9056933651486303</v>
      </c>
      <c r="I100" s="160"/>
    </row>
    <row r="101" spans="1:9" ht="15.75">
      <c r="A101" s="167"/>
      <c r="B101" s="168">
        <f>DATE(13,10,1)</f>
        <v>5023</v>
      </c>
      <c r="C101" s="229">
        <v>196701866.11</v>
      </c>
      <c r="D101" s="229">
        <v>18320631.43</v>
      </c>
      <c r="E101" s="229">
        <v>19747693.37</v>
      </c>
      <c r="F101" s="169">
        <f>(+D101-E101)/E101</f>
        <v>-0.07226474065917711</v>
      </c>
      <c r="G101" s="244">
        <f>D101/C101</f>
        <v>0.09313908298030431</v>
      </c>
      <c r="H101" s="245">
        <f>1-G101</f>
        <v>0.9068609170196957</v>
      </c>
      <c r="I101" s="160"/>
    </row>
    <row r="102" spans="1:9" ht="15.75">
      <c r="A102" s="167"/>
      <c r="B102" s="168">
        <f>DATE(13,11,1)</f>
        <v>5054</v>
      </c>
      <c r="C102" s="229">
        <v>203585275.39</v>
      </c>
      <c r="D102" s="229">
        <v>19295910.93</v>
      </c>
      <c r="E102" s="229">
        <v>20080028.35</v>
      </c>
      <c r="F102" s="169">
        <f>(+D102-E102)/E102</f>
        <v>-0.03904961717845392</v>
      </c>
      <c r="G102" s="244">
        <f>D102/C102</f>
        <v>0.09478048396690582</v>
      </c>
      <c r="H102" s="245">
        <f>1-G102</f>
        <v>0.9052195160330941</v>
      </c>
      <c r="I102" s="160"/>
    </row>
    <row r="103" spans="1:9" ht="15.75" thickBot="1">
      <c r="A103" s="170"/>
      <c r="B103" s="171"/>
      <c r="C103" s="229"/>
      <c r="D103" s="229"/>
      <c r="E103" s="229"/>
      <c r="F103" s="169"/>
      <c r="G103" s="244"/>
      <c r="H103" s="245"/>
      <c r="I103" s="160"/>
    </row>
    <row r="104" spans="1:9" ht="17.25" thickBot="1" thickTop="1">
      <c r="A104" s="177" t="s">
        <v>14</v>
      </c>
      <c r="B104" s="178"/>
      <c r="C104" s="231">
        <f>SUM(C98:C103)</f>
        <v>1011909891.1500001</v>
      </c>
      <c r="D104" s="231">
        <f>SUM(D98:D103)</f>
        <v>95116287.78</v>
      </c>
      <c r="E104" s="231">
        <f>SUM(E98:E103)</f>
        <v>103901497.37</v>
      </c>
      <c r="F104" s="179">
        <f>(+D104-E104)/E104</f>
        <v>-0.08455325295953435</v>
      </c>
      <c r="G104" s="248">
        <f>D104/C104</f>
        <v>0.09399679616917636</v>
      </c>
      <c r="H104" s="249">
        <f>1-G104</f>
        <v>0.9060032038308237</v>
      </c>
      <c r="I104" s="160"/>
    </row>
    <row r="105" spans="1:9" ht="15.75" thickTop="1">
      <c r="A105" s="170"/>
      <c r="B105" s="171"/>
      <c r="C105" s="229"/>
      <c r="D105" s="229"/>
      <c r="E105" s="229"/>
      <c r="F105" s="169"/>
      <c r="G105" s="244"/>
      <c r="H105" s="245"/>
      <c r="I105" s="160"/>
    </row>
    <row r="106" spans="1:9" ht="15.75">
      <c r="A106" s="167" t="s">
        <v>73</v>
      </c>
      <c r="B106" s="168">
        <f>DATE(13,7,1)</f>
        <v>4931</v>
      </c>
      <c r="C106" s="229">
        <v>32565782.91</v>
      </c>
      <c r="D106" s="229">
        <v>2870304.45</v>
      </c>
      <c r="E106" s="229">
        <v>3237074.33</v>
      </c>
      <c r="F106" s="169">
        <f>(+D106-E106)/E106</f>
        <v>-0.11330289100899325</v>
      </c>
      <c r="G106" s="244">
        <f>D106/C106</f>
        <v>0.08813865946145007</v>
      </c>
      <c r="H106" s="245">
        <f>1-G106</f>
        <v>0.91186134053855</v>
      </c>
      <c r="I106" s="160"/>
    </row>
    <row r="107" spans="1:9" ht="15.75">
      <c r="A107" s="167"/>
      <c r="B107" s="168">
        <f>DATE(13,8,1)</f>
        <v>4962</v>
      </c>
      <c r="C107" s="229">
        <v>33036170.16</v>
      </c>
      <c r="D107" s="229">
        <v>2938117.55</v>
      </c>
      <c r="E107" s="229">
        <v>3078065.54</v>
      </c>
      <c r="F107" s="169">
        <f>(+D107-E107)/E107</f>
        <v>-0.04546621512159232</v>
      </c>
      <c r="G107" s="244">
        <f>D107/C107</f>
        <v>0.08893638505220727</v>
      </c>
      <c r="H107" s="245">
        <f>1-G107</f>
        <v>0.9110636149477928</v>
      </c>
      <c r="I107" s="160"/>
    </row>
    <row r="108" spans="1:9" ht="15.75">
      <c r="A108" s="167"/>
      <c r="B108" s="168">
        <f>DATE(13,9,1)</f>
        <v>4993</v>
      </c>
      <c r="C108" s="229">
        <v>30063462.28</v>
      </c>
      <c r="D108" s="229">
        <v>2795573.06</v>
      </c>
      <c r="E108" s="229">
        <v>3025142.38</v>
      </c>
      <c r="F108" s="169">
        <f>(+D108-E108)/E108</f>
        <v>-0.07588711246047197</v>
      </c>
      <c r="G108" s="244">
        <f>D108/C108</f>
        <v>0.09298905874390194</v>
      </c>
      <c r="H108" s="245">
        <f>1-G108</f>
        <v>0.907010941256098</v>
      </c>
      <c r="I108" s="160"/>
    </row>
    <row r="109" spans="1:9" ht="15.75">
      <c r="A109" s="167"/>
      <c r="B109" s="168">
        <f>DATE(13,10,1)</f>
        <v>5023</v>
      </c>
      <c r="C109" s="229">
        <v>30701760.99</v>
      </c>
      <c r="D109" s="229">
        <v>2890029.24</v>
      </c>
      <c r="E109" s="229">
        <v>3023456.63</v>
      </c>
      <c r="F109" s="169">
        <f>(+D109-E109)/E109</f>
        <v>-0.04413074382350233</v>
      </c>
      <c r="G109" s="244">
        <f>D109/C109</f>
        <v>0.09413236071186028</v>
      </c>
      <c r="H109" s="245">
        <f>1-G109</f>
        <v>0.9058676392881397</v>
      </c>
      <c r="I109" s="160"/>
    </row>
    <row r="110" spans="1:9" ht="15.75">
      <c r="A110" s="167"/>
      <c r="B110" s="168">
        <f>DATE(13,11,1)</f>
        <v>5054</v>
      </c>
      <c r="C110" s="229">
        <v>30542683.73</v>
      </c>
      <c r="D110" s="229">
        <v>2745250.28</v>
      </c>
      <c r="E110" s="229">
        <v>2971181.48</v>
      </c>
      <c r="F110" s="169">
        <f>(+D110-E110)/E110</f>
        <v>-0.07604086169788599</v>
      </c>
      <c r="G110" s="244">
        <f>D110/C110</f>
        <v>0.08988241846290433</v>
      </c>
      <c r="H110" s="245">
        <f>1-G110</f>
        <v>0.9101175815370957</v>
      </c>
      <c r="I110" s="160"/>
    </row>
    <row r="111" spans="1:9" ht="15.75" thickBot="1">
      <c r="A111" s="170"/>
      <c r="B111" s="171"/>
      <c r="C111" s="229"/>
      <c r="D111" s="229"/>
      <c r="E111" s="229"/>
      <c r="F111" s="169"/>
      <c r="G111" s="244"/>
      <c r="H111" s="245"/>
      <c r="I111" s="160"/>
    </row>
    <row r="112" spans="1:9" ht="17.25" thickBot="1" thickTop="1">
      <c r="A112" s="172" t="s">
        <v>14</v>
      </c>
      <c r="B112" s="158"/>
      <c r="C112" s="226">
        <f>SUM(C106:C111)</f>
        <v>156909860.07</v>
      </c>
      <c r="D112" s="226">
        <f>SUM(D106:D111)</f>
        <v>14239274.58</v>
      </c>
      <c r="E112" s="226">
        <f>SUM(E106:E111)</f>
        <v>15334920.36</v>
      </c>
      <c r="F112" s="179">
        <f>(+D112-E112)/E112</f>
        <v>-0.07144776459732455</v>
      </c>
      <c r="G112" s="248">
        <f>D112/C112</f>
        <v>0.09074811852899259</v>
      </c>
      <c r="H112" s="249">
        <f>1-G112</f>
        <v>0.9092518814710074</v>
      </c>
      <c r="I112" s="160"/>
    </row>
    <row r="113" spans="1:9" ht="16.5" thickBot="1" thickTop="1">
      <c r="A113" s="174"/>
      <c r="B113" s="175"/>
      <c r="C113" s="230"/>
      <c r="D113" s="230"/>
      <c r="E113" s="230"/>
      <c r="F113" s="176"/>
      <c r="G113" s="246"/>
      <c r="H113" s="247"/>
      <c r="I113" s="160"/>
    </row>
    <row r="114" spans="1:9" ht="17.25" thickBot="1" thickTop="1">
      <c r="A114" s="187" t="s">
        <v>41</v>
      </c>
      <c r="B114" s="158"/>
      <c r="C114" s="226">
        <f>C112+C104+C80+C64+C48+C32+C16+C40+C96+C24+C72+C88+C56</f>
        <v>6561317346.04</v>
      </c>
      <c r="D114" s="226">
        <f>D112+D104+D80+D64+D48+D32+D16+D40+D96+D24+D72+D88+D56</f>
        <v>610264858.99</v>
      </c>
      <c r="E114" s="226">
        <f>E112+E104+E80+E64+E48+E32+E16+E40+E96+E24+E72+E88+E56</f>
        <v>632775688.36</v>
      </c>
      <c r="F114" s="173">
        <f>(+D114-E114)/E114</f>
        <v>-0.03557473806925575</v>
      </c>
      <c r="G114" s="239">
        <f>D114/C114</f>
        <v>0.09300950202604019</v>
      </c>
      <c r="H114" s="240">
        <f>1-G114</f>
        <v>0.9069904979739598</v>
      </c>
      <c r="I114" s="160"/>
    </row>
    <row r="115" spans="1:9" ht="17.25" thickBot="1" thickTop="1">
      <c r="A115" s="187"/>
      <c r="B115" s="158"/>
      <c r="C115" s="226"/>
      <c r="D115" s="226"/>
      <c r="E115" s="226"/>
      <c r="F115" s="173"/>
      <c r="G115" s="239"/>
      <c r="H115" s="240"/>
      <c r="I115" s="160"/>
    </row>
    <row r="116" spans="1:9" ht="17.25" thickBot="1" thickTop="1">
      <c r="A116" s="187" t="s">
        <v>42</v>
      </c>
      <c r="B116" s="158"/>
      <c r="C116" s="226">
        <f>+C14+C22+C30+C38+C46+C54+C62+C70+C78+C86+C94+C102+C110</f>
        <v>1291795086.17</v>
      </c>
      <c r="D116" s="226">
        <f>+D14+D22+D30+D38+D46+D54+D62+D70+D78+D86+D94+D102+D110</f>
        <v>120956348.91</v>
      </c>
      <c r="E116" s="226">
        <f>+E14+E22+E30+E38+E46+E54+E62+E70+E78+E86+E94+E102+E110</f>
        <v>124812462.75000001</v>
      </c>
      <c r="F116" s="173">
        <f>(+D116-E116)/E116</f>
        <v>-0.030895262821019995</v>
      </c>
      <c r="G116" s="239">
        <f>D116/C116</f>
        <v>0.09363431569369057</v>
      </c>
      <c r="H116" s="249">
        <f>1-G116</f>
        <v>0.9063656843063095</v>
      </c>
      <c r="I116" s="160"/>
    </row>
    <row r="117" spans="1:9" ht="16.5" thickTop="1">
      <c r="A117" s="188"/>
      <c r="B117" s="189"/>
      <c r="C117" s="234"/>
      <c r="D117" s="234"/>
      <c r="E117" s="234"/>
      <c r="F117" s="190"/>
      <c r="G117" s="253"/>
      <c r="H117" s="253"/>
      <c r="I117" s="153"/>
    </row>
    <row r="118" spans="1:18" s="3" customFormat="1" ht="15.75">
      <c r="A118" s="279" t="s">
        <v>63</v>
      </c>
      <c r="B118" s="264"/>
      <c r="C118" s="265"/>
      <c r="D118" s="264"/>
      <c r="E118" s="264"/>
      <c r="F118" s="264"/>
      <c r="G118" s="264"/>
      <c r="H118" s="264"/>
      <c r="I118" s="264"/>
      <c r="J118" s="264"/>
      <c r="K118" s="265"/>
      <c r="L118" s="265"/>
      <c r="M118" s="264"/>
      <c r="R118" s="2"/>
    </row>
    <row r="119" spans="1:18" s="3" customFormat="1" ht="15.75">
      <c r="A119" s="259" t="s">
        <v>69</v>
      </c>
      <c r="B119" s="261"/>
      <c r="C119" s="262"/>
      <c r="D119" s="262"/>
      <c r="E119" s="262"/>
      <c r="F119" s="263"/>
      <c r="G119" s="260"/>
      <c r="H119" s="260"/>
      <c r="I119" s="264"/>
      <c r="J119" s="264"/>
      <c r="K119" s="265"/>
      <c r="L119" s="265"/>
      <c r="M119" s="264"/>
      <c r="R119" s="2"/>
    </row>
    <row r="120" spans="1:9" ht="16.5" customHeight="1">
      <c r="A120" s="191" t="s">
        <v>52</v>
      </c>
      <c r="B120" s="192"/>
      <c r="C120" s="235"/>
      <c r="D120" s="235"/>
      <c r="E120" s="235"/>
      <c r="F120" s="193"/>
      <c r="G120" s="254"/>
      <c r="H120" s="254"/>
      <c r="I120" s="153"/>
    </row>
    <row r="121" spans="1:9" ht="15.75">
      <c r="A121" s="194"/>
      <c r="B121" s="192"/>
      <c r="C121" s="235"/>
      <c r="D121" s="235"/>
      <c r="E121" s="235"/>
      <c r="F121" s="193"/>
      <c r="G121" s="260"/>
      <c r="H121" s="260"/>
      <c r="I121" s="153"/>
    </row>
    <row r="122" spans="1:9" ht="15.75">
      <c r="A122" s="73"/>
      <c r="I122" s="153"/>
    </row>
  </sheetData>
  <sheetProtection/>
  <printOptions horizontalCentered="1"/>
  <pageMargins left="0.75" right="0.25" top="0.3194" bottom="0.2" header="0.5" footer="0.5"/>
  <pageSetup horizontalDpi="600" verticalDpi="600" orientation="landscape" scale="65" r:id="rId1"/>
  <rowBreaks count="2" manualBreakCount="2">
    <brk id="48" max="8" man="1"/>
    <brk id="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jbrun</cp:lastModifiedBy>
  <cp:lastPrinted>2013-12-09T16:46:05Z</cp:lastPrinted>
  <dcterms:created xsi:type="dcterms:W3CDTF">2003-09-09T14:41:43Z</dcterms:created>
  <dcterms:modified xsi:type="dcterms:W3CDTF">2013-12-09T16:50:43Z</dcterms:modified>
  <cp:category/>
  <cp:version/>
  <cp:contentType/>
  <cp:contentStatus/>
</cp:coreProperties>
</file>