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90" yWindow="150" windowWidth="7530" windowHeight="4050"/>
  </bookViews>
  <sheets>
    <sheet name="MONTHLY STATS" sheetId="1" r:id="rId1"/>
    <sheet name="YTD TAXES" sheetId="2" r:id="rId2"/>
    <sheet name="TABLE STATS" sheetId="3" r:id="rId3"/>
    <sheet name="SLOT STATS" sheetId="4" r:id="rId4"/>
  </sheets>
  <definedNames>
    <definedName name="_xlnm.Print_Area" localSheetId="0">'MONTHLY STATS'!$A$1:$M$170</definedName>
    <definedName name="_xlnm.Print_Area" localSheetId="3">'SLOT STATS'!$A$1:$I$171</definedName>
    <definedName name="_xlnm.Print_Area" localSheetId="2">'TABLE STATS'!$A$1:$H$170</definedName>
    <definedName name="_xlnm.Print_Titles" localSheetId="0">'MONTHLY STATS'!$1:$7</definedName>
    <definedName name="_xlnm.Print_Titles" localSheetId="3">'SLOT STATS'!$1:$8</definedName>
    <definedName name="_xlnm.Print_Titles" localSheetId="2">'TABLE STATS'!$1:$7</definedName>
  </definedNames>
  <calcPr calcId="152511" calcMode="autoNoTable" iterate="1" iterateCount="1" iterateDelta="0"/>
</workbook>
</file>

<file path=xl/calcChain.xml><?xml version="1.0" encoding="utf-8"?>
<calcChain xmlns="http://schemas.openxmlformats.org/spreadsheetml/2006/main">
  <c r="L167" i="1" l="1"/>
  <c r="K167" i="1"/>
  <c r="D167" i="1"/>
  <c r="C167" i="1"/>
  <c r="E167" i="3"/>
  <c r="D167" i="3"/>
  <c r="C167" i="3"/>
  <c r="G167" i="3" s="1"/>
  <c r="E168" i="4"/>
  <c r="F168" i="4" s="1"/>
  <c r="D168" i="4"/>
  <c r="C168" i="4"/>
  <c r="F162" i="4"/>
  <c r="G162" i="4"/>
  <c r="H162" i="4" s="1"/>
  <c r="F150" i="4"/>
  <c r="G150" i="4"/>
  <c r="H150" i="4"/>
  <c r="F138" i="4"/>
  <c r="G138" i="4"/>
  <c r="H138" i="4" s="1"/>
  <c r="F126" i="4"/>
  <c r="G126" i="4"/>
  <c r="H126" i="4" s="1"/>
  <c r="F114" i="4"/>
  <c r="G114" i="4"/>
  <c r="H114" i="4" s="1"/>
  <c r="F102" i="4"/>
  <c r="G102" i="4"/>
  <c r="H102" i="4" s="1"/>
  <c r="F90" i="4"/>
  <c r="G90" i="4"/>
  <c r="H90" i="4" s="1"/>
  <c r="F78" i="4"/>
  <c r="G78" i="4"/>
  <c r="H78" i="4"/>
  <c r="F66" i="4"/>
  <c r="G66" i="4"/>
  <c r="H66" i="4" s="1"/>
  <c r="F54" i="4"/>
  <c r="G54" i="4"/>
  <c r="H54" i="4"/>
  <c r="F42" i="4"/>
  <c r="G42" i="4"/>
  <c r="H42" i="4"/>
  <c r="F30" i="4"/>
  <c r="G30" i="4"/>
  <c r="H30" i="4" s="1"/>
  <c r="F18" i="4"/>
  <c r="G18" i="4"/>
  <c r="H18" i="4" s="1"/>
  <c r="B162" i="4"/>
  <c r="B150" i="4"/>
  <c r="B138" i="4"/>
  <c r="B126" i="4"/>
  <c r="B114" i="4"/>
  <c r="B102" i="4"/>
  <c r="B90" i="4"/>
  <c r="B78" i="4"/>
  <c r="B66" i="4"/>
  <c r="B54" i="4"/>
  <c r="B42" i="4"/>
  <c r="B30" i="4"/>
  <c r="B18" i="4"/>
  <c r="F161" i="3"/>
  <c r="G161" i="3"/>
  <c r="F149" i="3"/>
  <c r="G149" i="3"/>
  <c r="F137" i="3"/>
  <c r="G137" i="3"/>
  <c r="F125" i="3"/>
  <c r="G125" i="3"/>
  <c r="F113" i="3"/>
  <c r="G113" i="3"/>
  <c r="F101" i="3"/>
  <c r="G101" i="3"/>
  <c r="F89" i="3"/>
  <c r="G89" i="3"/>
  <c r="F77" i="3"/>
  <c r="G77" i="3"/>
  <c r="F65" i="3"/>
  <c r="G65" i="3"/>
  <c r="F53" i="3"/>
  <c r="G53" i="3"/>
  <c r="F41" i="3"/>
  <c r="G41" i="3"/>
  <c r="F29" i="3"/>
  <c r="G29" i="3"/>
  <c r="F17" i="3"/>
  <c r="G17" i="3"/>
  <c r="B161" i="3"/>
  <c r="B149" i="3"/>
  <c r="B137" i="3"/>
  <c r="B125" i="3"/>
  <c r="B113" i="3"/>
  <c r="B101" i="3"/>
  <c r="B89" i="3"/>
  <c r="B77" i="3"/>
  <c r="B65" i="3"/>
  <c r="B53" i="3"/>
  <c r="B41" i="3"/>
  <c r="B29" i="3"/>
  <c r="B17" i="3"/>
  <c r="G74" i="1"/>
  <c r="F45" i="1"/>
  <c r="F48" i="1"/>
  <c r="J48" i="1" s="1"/>
  <c r="F148" i="1"/>
  <c r="H148" i="1" s="1"/>
  <c r="J148" i="1"/>
  <c r="F112" i="1"/>
  <c r="J112" i="1" s="1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39" i="2"/>
  <c r="A18" i="2"/>
  <c r="M161" i="1"/>
  <c r="I161" i="1"/>
  <c r="G161" i="1"/>
  <c r="F161" i="1"/>
  <c r="J161" i="1" s="1"/>
  <c r="E161" i="1"/>
  <c r="M149" i="1"/>
  <c r="I149" i="1"/>
  <c r="G149" i="1"/>
  <c r="F149" i="1"/>
  <c r="J149" i="1" s="1"/>
  <c r="E149" i="1"/>
  <c r="H137" i="1"/>
  <c r="M137" i="1"/>
  <c r="I137" i="1"/>
  <c r="G137" i="1"/>
  <c r="F137" i="1"/>
  <c r="J137" i="1" s="1"/>
  <c r="E137" i="1"/>
  <c r="M125" i="1"/>
  <c r="I125" i="1"/>
  <c r="G125" i="1"/>
  <c r="F125" i="1"/>
  <c r="E125" i="1"/>
  <c r="M113" i="1"/>
  <c r="I113" i="1"/>
  <c r="G113" i="1"/>
  <c r="F113" i="1"/>
  <c r="J113" i="1" s="1"/>
  <c r="E113" i="1"/>
  <c r="M101" i="1"/>
  <c r="I101" i="1"/>
  <c r="G101" i="1"/>
  <c r="F101" i="1"/>
  <c r="J101" i="1" s="1"/>
  <c r="E101" i="1"/>
  <c r="H89" i="1"/>
  <c r="M89" i="1"/>
  <c r="I89" i="1"/>
  <c r="G89" i="1"/>
  <c r="F89" i="1"/>
  <c r="J89" i="1" s="1"/>
  <c r="E89" i="1"/>
  <c r="H77" i="1"/>
  <c r="M77" i="1"/>
  <c r="I77" i="1"/>
  <c r="G77" i="1"/>
  <c r="F77" i="1"/>
  <c r="J77" i="1" s="1"/>
  <c r="E77" i="1"/>
  <c r="M65" i="1"/>
  <c r="I65" i="1"/>
  <c r="G65" i="1"/>
  <c r="F65" i="1"/>
  <c r="E65" i="1"/>
  <c r="M53" i="1"/>
  <c r="I53" i="1"/>
  <c r="G53" i="1"/>
  <c r="F53" i="1"/>
  <c r="J53" i="1" s="1"/>
  <c r="E53" i="1"/>
  <c r="H41" i="1"/>
  <c r="M41" i="1"/>
  <c r="I41" i="1"/>
  <c r="G41" i="1"/>
  <c r="F41" i="1"/>
  <c r="J41" i="1" s="1"/>
  <c r="E41" i="1"/>
  <c r="M29" i="1"/>
  <c r="I29" i="1"/>
  <c r="G29" i="1"/>
  <c r="H29" i="1" s="1"/>
  <c r="F29" i="1"/>
  <c r="J29" i="1" s="1"/>
  <c r="E29" i="1"/>
  <c r="M17" i="1"/>
  <c r="I17" i="1"/>
  <c r="G17" i="1"/>
  <c r="F17" i="1"/>
  <c r="H17" i="1" s="1"/>
  <c r="E17" i="1"/>
  <c r="B161" i="1"/>
  <c r="B149" i="1"/>
  <c r="B137" i="1"/>
  <c r="B125" i="1"/>
  <c r="B113" i="1"/>
  <c r="B101" i="1"/>
  <c r="B89" i="1"/>
  <c r="B77" i="1"/>
  <c r="B65" i="1"/>
  <c r="B53" i="1"/>
  <c r="B41" i="1"/>
  <c r="B29" i="1"/>
  <c r="B17" i="1"/>
  <c r="F161" i="4"/>
  <c r="G161" i="4"/>
  <c r="H161" i="4" s="1"/>
  <c r="F149" i="4"/>
  <c r="G149" i="4"/>
  <c r="H149" i="4" s="1"/>
  <c r="F137" i="4"/>
  <c r="G137" i="4"/>
  <c r="H137" i="4"/>
  <c r="F125" i="4"/>
  <c r="G125" i="4"/>
  <c r="H125" i="4" s="1"/>
  <c r="F113" i="4"/>
  <c r="G113" i="4"/>
  <c r="H113" i="4" s="1"/>
  <c r="F101" i="4"/>
  <c r="G101" i="4"/>
  <c r="H101" i="4" s="1"/>
  <c r="F89" i="4"/>
  <c r="G89" i="4"/>
  <c r="H89" i="4"/>
  <c r="F77" i="4"/>
  <c r="G77" i="4"/>
  <c r="H77" i="4"/>
  <c r="F65" i="4"/>
  <c r="G65" i="4"/>
  <c r="H65" i="4"/>
  <c r="F53" i="4"/>
  <c r="G53" i="4"/>
  <c r="H53" i="4" s="1"/>
  <c r="F41" i="4"/>
  <c r="G41" i="4"/>
  <c r="H41" i="4" s="1"/>
  <c r="F29" i="4"/>
  <c r="G29" i="4"/>
  <c r="H29" i="4"/>
  <c r="F17" i="4"/>
  <c r="G17" i="4"/>
  <c r="H17" i="4" s="1"/>
  <c r="B161" i="4"/>
  <c r="B149" i="4"/>
  <c r="B137" i="4"/>
  <c r="B125" i="4"/>
  <c r="B113" i="4"/>
  <c r="B101" i="4"/>
  <c r="B89" i="4"/>
  <c r="B77" i="4"/>
  <c r="B65" i="4"/>
  <c r="B53" i="4"/>
  <c r="B41" i="4"/>
  <c r="B29" i="4"/>
  <c r="B17" i="4"/>
  <c r="F160" i="3"/>
  <c r="G160" i="3"/>
  <c r="F148" i="3"/>
  <c r="G148" i="3"/>
  <c r="F136" i="3"/>
  <c r="G136" i="3"/>
  <c r="F124" i="3"/>
  <c r="G124" i="3"/>
  <c r="F112" i="3"/>
  <c r="G112" i="3"/>
  <c r="F100" i="3"/>
  <c r="G100" i="3"/>
  <c r="F88" i="3"/>
  <c r="G88" i="3"/>
  <c r="F76" i="3"/>
  <c r="G76" i="3"/>
  <c r="F64" i="3"/>
  <c r="G64" i="3"/>
  <c r="F52" i="3"/>
  <c r="G52" i="3"/>
  <c r="F40" i="3"/>
  <c r="G40" i="3"/>
  <c r="F28" i="3"/>
  <c r="G28" i="3"/>
  <c r="F16" i="3"/>
  <c r="G16" i="3"/>
  <c r="B160" i="3"/>
  <c r="B148" i="3"/>
  <c r="B136" i="3"/>
  <c r="B124" i="3"/>
  <c r="B112" i="3"/>
  <c r="B100" i="3"/>
  <c r="B88" i="3"/>
  <c r="B76" i="3"/>
  <c r="B64" i="3"/>
  <c r="B52" i="3"/>
  <c r="B40" i="3"/>
  <c r="B28" i="3"/>
  <c r="B16" i="3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N17" i="2"/>
  <c r="M17" i="2"/>
  <c r="L17" i="2"/>
  <c r="K17" i="2"/>
  <c r="J17" i="2"/>
  <c r="I17" i="2"/>
  <c r="H17" i="2"/>
  <c r="G17" i="2"/>
  <c r="F17" i="2"/>
  <c r="E17" i="2"/>
  <c r="C17" i="2"/>
  <c r="D17" i="2"/>
  <c r="B17" i="2"/>
  <c r="A38" i="2"/>
  <c r="A17" i="2"/>
  <c r="F50" i="1"/>
  <c r="F49" i="1"/>
  <c r="J49" i="1" s="1"/>
  <c r="F111" i="1"/>
  <c r="F159" i="1"/>
  <c r="J159" i="1" s="1"/>
  <c r="M160" i="1"/>
  <c r="I160" i="1"/>
  <c r="G160" i="1"/>
  <c r="F160" i="1"/>
  <c r="E160" i="1"/>
  <c r="M148" i="1"/>
  <c r="I148" i="1"/>
  <c r="G148" i="1"/>
  <c r="E148" i="1"/>
  <c r="H136" i="1"/>
  <c r="M136" i="1"/>
  <c r="I136" i="1"/>
  <c r="G136" i="1"/>
  <c r="F136" i="1"/>
  <c r="J136" i="1" s="1"/>
  <c r="E136" i="1"/>
  <c r="H124" i="1"/>
  <c r="M124" i="1"/>
  <c r="I124" i="1"/>
  <c r="G124" i="1"/>
  <c r="F124" i="1"/>
  <c r="J124" i="1" s="1"/>
  <c r="E124" i="1"/>
  <c r="M112" i="1"/>
  <c r="I112" i="1"/>
  <c r="G112" i="1"/>
  <c r="H112" i="1"/>
  <c r="E112" i="1"/>
  <c r="M100" i="1"/>
  <c r="I100" i="1"/>
  <c r="G100" i="1"/>
  <c r="F100" i="1"/>
  <c r="E100" i="1"/>
  <c r="M88" i="1"/>
  <c r="I88" i="1"/>
  <c r="G88" i="1"/>
  <c r="F88" i="1"/>
  <c r="E88" i="1"/>
  <c r="M76" i="1"/>
  <c r="I76" i="1"/>
  <c r="K79" i="1"/>
  <c r="I79" i="1" s="1"/>
  <c r="G76" i="1"/>
  <c r="F76" i="1"/>
  <c r="E76" i="1"/>
  <c r="M64" i="1"/>
  <c r="I64" i="1"/>
  <c r="G64" i="1"/>
  <c r="F64" i="1"/>
  <c r="E64" i="1"/>
  <c r="M52" i="1"/>
  <c r="I52" i="1"/>
  <c r="G52" i="1"/>
  <c r="F52" i="1"/>
  <c r="E52" i="1"/>
  <c r="H40" i="1"/>
  <c r="M40" i="1"/>
  <c r="I40" i="1"/>
  <c r="J40" i="1"/>
  <c r="G40" i="1"/>
  <c r="F40" i="1"/>
  <c r="E40" i="1"/>
  <c r="M28" i="1"/>
  <c r="I28" i="1"/>
  <c r="J28" i="1"/>
  <c r="G28" i="1"/>
  <c r="H28" i="1" s="1"/>
  <c r="F28" i="1"/>
  <c r="E28" i="1"/>
  <c r="M16" i="1"/>
  <c r="I16" i="1"/>
  <c r="G16" i="1"/>
  <c r="F16" i="1"/>
  <c r="H16" i="1" s="1"/>
  <c r="E16" i="1"/>
  <c r="B160" i="1"/>
  <c r="B148" i="1"/>
  <c r="B136" i="1"/>
  <c r="B124" i="1"/>
  <c r="B112" i="1"/>
  <c r="B100" i="1"/>
  <c r="B88" i="1"/>
  <c r="B76" i="1"/>
  <c r="B64" i="1"/>
  <c r="B52" i="1"/>
  <c r="B40" i="1"/>
  <c r="B28" i="1"/>
  <c r="B16" i="1"/>
  <c r="F160" i="4"/>
  <c r="G160" i="4"/>
  <c r="H160" i="4" s="1"/>
  <c r="F148" i="4"/>
  <c r="G148" i="4"/>
  <c r="H148" i="4" s="1"/>
  <c r="F136" i="4"/>
  <c r="G136" i="4"/>
  <c r="H136" i="4"/>
  <c r="F124" i="4"/>
  <c r="G124" i="4"/>
  <c r="H124" i="4"/>
  <c r="F112" i="4"/>
  <c r="G112" i="4"/>
  <c r="H112" i="4" s="1"/>
  <c r="F100" i="4"/>
  <c r="G100" i="4"/>
  <c r="H100" i="4" s="1"/>
  <c r="F88" i="4"/>
  <c r="G88" i="4"/>
  <c r="H88" i="4" s="1"/>
  <c r="F76" i="4"/>
  <c r="G76" i="4"/>
  <c r="H76" i="4"/>
  <c r="F64" i="4"/>
  <c r="G64" i="4"/>
  <c r="H64" i="4"/>
  <c r="F52" i="4"/>
  <c r="G52" i="4"/>
  <c r="H52" i="4" s="1"/>
  <c r="F40" i="4"/>
  <c r="G40" i="4"/>
  <c r="H40" i="4" s="1"/>
  <c r="F28" i="4"/>
  <c r="G28" i="4"/>
  <c r="H28" i="4"/>
  <c r="F16" i="4"/>
  <c r="G16" i="4"/>
  <c r="H16" i="4" s="1"/>
  <c r="B160" i="4"/>
  <c r="B148" i="4"/>
  <c r="B136" i="4"/>
  <c r="B124" i="4"/>
  <c r="B112" i="4"/>
  <c r="B100" i="4"/>
  <c r="B88" i="4"/>
  <c r="B76" i="4"/>
  <c r="B64" i="4"/>
  <c r="B52" i="4"/>
  <c r="B40" i="4"/>
  <c r="B28" i="4"/>
  <c r="B16" i="4"/>
  <c r="F159" i="3"/>
  <c r="G159" i="3"/>
  <c r="F147" i="3"/>
  <c r="G147" i="3"/>
  <c r="F135" i="3"/>
  <c r="G135" i="3"/>
  <c r="F123" i="3"/>
  <c r="G123" i="3"/>
  <c r="F111" i="3"/>
  <c r="G111" i="3"/>
  <c r="F99" i="3"/>
  <c r="G99" i="3"/>
  <c r="F87" i="3"/>
  <c r="G87" i="3"/>
  <c r="F75" i="3"/>
  <c r="G75" i="3"/>
  <c r="F63" i="3"/>
  <c r="G63" i="3"/>
  <c r="F51" i="3"/>
  <c r="G51" i="3"/>
  <c r="F39" i="3"/>
  <c r="G39" i="3"/>
  <c r="F27" i="3"/>
  <c r="G27" i="3"/>
  <c r="F15" i="3"/>
  <c r="G15" i="3"/>
  <c r="B159" i="3"/>
  <c r="B147" i="3"/>
  <c r="B135" i="3"/>
  <c r="B123" i="3"/>
  <c r="B111" i="3"/>
  <c r="B99" i="3"/>
  <c r="B87" i="3"/>
  <c r="B75" i="3"/>
  <c r="B63" i="3"/>
  <c r="B51" i="3"/>
  <c r="B39" i="3"/>
  <c r="B27" i="3"/>
  <c r="B15" i="3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37" i="2"/>
  <c r="A16" i="2"/>
  <c r="F38" i="1"/>
  <c r="I159" i="1"/>
  <c r="M159" i="1"/>
  <c r="G159" i="1"/>
  <c r="E159" i="1"/>
  <c r="M147" i="1"/>
  <c r="I147" i="1"/>
  <c r="G147" i="1"/>
  <c r="F147" i="1"/>
  <c r="E147" i="1"/>
  <c r="M135" i="1"/>
  <c r="I135" i="1"/>
  <c r="J135" i="1"/>
  <c r="G135" i="1"/>
  <c r="H135" i="1" s="1"/>
  <c r="F135" i="1"/>
  <c r="E135" i="1"/>
  <c r="M123" i="1"/>
  <c r="I123" i="1"/>
  <c r="J123" i="1"/>
  <c r="G123" i="1"/>
  <c r="H123" i="1" s="1"/>
  <c r="F123" i="1"/>
  <c r="E123" i="1"/>
  <c r="M111" i="1"/>
  <c r="I111" i="1"/>
  <c r="G111" i="1"/>
  <c r="E111" i="1"/>
  <c r="M99" i="1"/>
  <c r="I99" i="1"/>
  <c r="G99" i="1"/>
  <c r="F99" i="1"/>
  <c r="H99" i="1" s="1"/>
  <c r="E99" i="1"/>
  <c r="M87" i="1"/>
  <c r="I87" i="1"/>
  <c r="G87" i="1"/>
  <c r="F87" i="1"/>
  <c r="E87" i="1"/>
  <c r="M75" i="1"/>
  <c r="I75" i="1"/>
  <c r="G75" i="1"/>
  <c r="F75" i="1"/>
  <c r="E75" i="1"/>
  <c r="H63" i="1"/>
  <c r="M63" i="1"/>
  <c r="I63" i="1"/>
  <c r="J63" i="1"/>
  <c r="G63" i="1"/>
  <c r="F63" i="1"/>
  <c r="E63" i="1"/>
  <c r="M51" i="1"/>
  <c r="I51" i="1"/>
  <c r="J51" i="1"/>
  <c r="G51" i="1"/>
  <c r="F51" i="1"/>
  <c r="E51" i="1"/>
  <c r="M39" i="1"/>
  <c r="I39" i="1"/>
  <c r="G39" i="1"/>
  <c r="F39" i="1"/>
  <c r="J39" i="1" s="1"/>
  <c r="E39" i="1"/>
  <c r="M27" i="1"/>
  <c r="I27" i="1"/>
  <c r="G27" i="1"/>
  <c r="F27" i="1"/>
  <c r="H27" i="1" s="1"/>
  <c r="E27" i="1"/>
  <c r="M15" i="1"/>
  <c r="I15" i="1"/>
  <c r="G15" i="1"/>
  <c r="F15" i="1"/>
  <c r="H15" i="1" s="1"/>
  <c r="E15" i="1"/>
  <c r="B159" i="1"/>
  <c r="B147" i="1"/>
  <c r="B135" i="1"/>
  <c r="B123" i="1"/>
  <c r="B111" i="1"/>
  <c r="B99" i="1"/>
  <c r="B87" i="1"/>
  <c r="B75" i="1"/>
  <c r="B63" i="1"/>
  <c r="B51" i="1"/>
  <c r="B39" i="1"/>
  <c r="B27" i="1"/>
  <c r="B15" i="1"/>
  <c r="K158" i="1"/>
  <c r="F159" i="4"/>
  <c r="G159" i="4"/>
  <c r="H159" i="4"/>
  <c r="F147" i="4"/>
  <c r="G147" i="4"/>
  <c r="H147" i="4"/>
  <c r="F135" i="4"/>
  <c r="G135" i="4"/>
  <c r="H135" i="4" s="1"/>
  <c r="F123" i="4"/>
  <c r="G123" i="4"/>
  <c r="H123" i="4" s="1"/>
  <c r="F111" i="4"/>
  <c r="G111" i="4"/>
  <c r="H111" i="4"/>
  <c r="F99" i="4"/>
  <c r="G99" i="4"/>
  <c r="H99" i="4"/>
  <c r="F87" i="4"/>
  <c r="G87" i="4"/>
  <c r="H87" i="4"/>
  <c r="F75" i="4"/>
  <c r="G75" i="4"/>
  <c r="H75" i="4" s="1"/>
  <c r="F63" i="4"/>
  <c r="G63" i="4"/>
  <c r="H63" i="4"/>
  <c r="F51" i="4"/>
  <c r="G51" i="4"/>
  <c r="H51" i="4"/>
  <c r="F39" i="4"/>
  <c r="G39" i="4"/>
  <c r="H39" i="4" s="1"/>
  <c r="F27" i="4"/>
  <c r="G27" i="4"/>
  <c r="H27" i="4" s="1"/>
  <c r="F15" i="4"/>
  <c r="G15" i="4"/>
  <c r="H15" i="4" s="1"/>
  <c r="B159" i="4"/>
  <c r="B147" i="4"/>
  <c r="B135" i="4"/>
  <c r="B123" i="4"/>
  <c r="B111" i="4"/>
  <c r="B99" i="4"/>
  <c r="B87" i="4"/>
  <c r="B75" i="4"/>
  <c r="B63" i="4"/>
  <c r="B51" i="4"/>
  <c r="B39" i="4"/>
  <c r="B27" i="4"/>
  <c r="B15" i="4"/>
  <c r="F158" i="3"/>
  <c r="G158" i="3"/>
  <c r="F146" i="3"/>
  <c r="G146" i="3"/>
  <c r="F134" i="3"/>
  <c r="G134" i="3"/>
  <c r="F122" i="3"/>
  <c r="G122" i="3"/>
  <c r="F110" i="3"/>
  <c r="G110" i="3"/>
  <c r="F98" i="3"/>
  <c r="G98" i="3"/>
  <c r="F86" i="3"/>
  <c r="G86" i="3"/>
  <c r="F74" i="3"/>
  <c r="G74" i="3"/>
  <c r="F62" i="3"/>
  <c r="G62" i="3"/>
  <c r="F50" i="3"/>
  <c r="G50" i="3"/>
  <c r="F38" i="3"/>
  <c r="G38" i="3"/>
  <c r="F26" i="3"/>
  <c r="G26" i="3"/>
  <c r="F14" i="3"/>
  <c r="G14" i="3"/>
  <c r="B158" i="3"/>
  <c r="B146" i="3"/>
  <c r="B134" i="3"/>
  <c r="B122" i="3"/>
  <c r="B110" i="3"/>
  <c r="B98" i="3"/>
  <c r="B86" i="3"/>
  <c r="B74" i="3"/>
  <c r="B62" i="3"/>
  <c r="B50" i="3"/>
  <c r="B38" i="3"/>
  <c r="B26" i="3"/>
  <c r="B14" i="3"/>
  <c r="M36" i="2"/>
  <c r="L36" i="2"/>
  <c r="K36" i="2"/>
  <c r="J36" i="2"/>
  <c r="I36" i="2"/>
  <c r="H36" i="2"/>
  <c r="G36" i="2"/>
  <c r="F36" i="2"/>
  <c r="E36" i="2"/>
  <c r="D36" i="2"/>
  <c r="C36" i="2"/>
  <c r="B36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36" i="2"/>
  <c r="A15" i="2"/>
  <c r="M158" i="1"/>
  <c r="G158" i="1"/>
  <c r="F158" i="1"/>
  <c r="J158" i="1" s="1"/>
  <c r="E158" i="1"/>
  <c r="M146" i="1"/>
  <c r="I146" i="1"/>
  <c r="G146" i="1"/>
  <c r="F146" i="1"/>
  <c r="H146" i="1" s="1"/>
  <c r="E146" i="1"/>
  <c r="M134" i="1"/>
  <c r="I134" i="1"/>
  <c r="G134" i="1"/>
  <c r="F134" i="1"/>
  <c r="J134" i="1" s="1"/>
  <c r="E134" i="1"/>
  <c r="M122" i="1"/>
  <c r="I122" i="1"/>
  <c r="G122" i="1"/>
  <c r="F122" i="1"/>
  <c r="E122" i="1"/>
  <c r="M110" i="1"/>
  <c r="I110" i="1"/>
  <c r="G110" i="1"/>
  <c r="F110" i="1"/>
  <c r="E110" i="1"/>
  <c r="M98" i="1"/>
  <c r="I98" i="1"/>
  <c r="G98" i="1"/>
  <c r="F98" i="1"/>
  <c r="E98" i="1"/>
  <c r="M86" i="1"/>
  <c r="I86" i="1"/>
  <c r="G86" i="1"/>
  <c r="F86" i="1"/>
  <c r="J86" i="1" s="1"/>
  <c r="E86" i="1"/>
  <c r="F47" i="1"/>
  <c r="J47" i="1" s="1"/>
  <c r="M74" i="1"/>
  <c r="I74" i="1"/>
  <c r="F73" i="1"/>
  <c r="F72" i="1"/>
  <c r="J72" i="1" s="1"/>
  <c r="H72" i="1"/>
  <c r="F74" i="1"/>
  <c r="E74" i="1"/>
  <c r="M62" i="1"/>
  <c r="I62" i="1"/>
  <c r="G62" i="1"/>
  <c r="F62" i="1"/>
  <c r="E62" i="1"/>
  <c r="M50" i="1"/>
  <c r="I50" i="1"/>
  <c r="G50" i="1"/>
  <c r="H50" i="1" s="1"/>
  <c r="E50" i="1"/>
  <c r="M38" i="1"/>
  <c r="I38" i="1"/>
  <c r="G38" i="1"/>
  <c r="E38" i="1"/>
  <c r="H26" i="1"/>
  <c r="M26" i="1"/>
  <c r="I26" i="1"/>
  <c r="G26" i="1"/>
  <c r="F26" i="1"/>
  <c r="J26" i="1" s="1"/>
  <c r="E26" i="1"/>
  <c r="H14" i="1"/>
  <c r="M14" i="1"/>
  <c r="I14" i="1"/>
  <c r="J14" i="1"/>
  <c r="G14" i="1"/>
  <c r="F14" i="1"/>
  <c r="E14" i="1"/>
  <c r="B158" i="1"/>
  <c r="B146" i="1"/>
  <c r="B134" i="1"/>
  <c r="B122" i="1"/>
  <c r="B110" i="1"/>
  <c r="B98" i="1"/>
  <c r="B86" i="1"/>
  <c r="B74" i="1"/>
  <c r="B62" i="1"/>
  <c r="B50" i="1"/>
  <c r="B38" i="1"/>
  <c r="B26" i="1"/>
  <c r="B14" i="1"/>
  <c r="F158" i="4"/>
  <c r="G158" i="4"/>
  <c r="H158" i="4"/>
  <c r="F146" i="4"/>
  <c r="G146" i="4"/>
  <c r="H146" i="4" s="1"/>
  <c r="F134" i="4"/>
  <c r="G134" i="4"/>
  <c r="H134" i="4" s="1"/>
  <c r="F122" i="4"/>
  <c r="G122" i="4"/>
  <c r="H122" i="4" s="1"/>
  <c r="F110" i="4"/>
  <c r="G110" i="4"/>
  <c r="H110" i="4"/>
  <c r="F98" i="4"/>
  <c r="G98" i="4"/>
  <c r="H98" i="4" s="1"/>
  <c r="F86" i="4"/>
  <c r="G86" i="4"/>
  <c r="H86" i="4" s="1"/>
  <c r="F74" i="4"/>
  <c r="G74" i="4"/>
  <c r="H74" i="4" s="1"/>
  <c r="F62" i="4"/>
  <c r="G62" i="4"/>
  <c r="H62" i="4" s="1"/>
  <c r="F50" i="4"/>
  <c r="G50" i="4"/>
  <c r="H50" i="4" s="1"/>
  <c r="F38" i="4"/>
  <c r="G38" i="4"/>
  <c r="H38" i="4" s="1"/>
  <c r="F26" i="4"/>
  <c r="G26" i="4"/>
  <c r="H26" i="4"/>
  <c r="F14" i="4"/>
  <c r="G14" i="4"/>
  <c r="H14" i="4"/>
  <c r="B158" i="4"/>
  <c r="B146" i="4"/>
  <c r="B134" i="4"/>
  <c r="B122" i="4"/>
  <c r="B110" i="4"/>
  <c r="B98" i="4"/>
  <c r="B86" i="4"/>
  <c r="B74" i="4"/>
  <c r="B62" i="4"/>
  <c r="B50" i="4"/>
  <c r="B38" i="4"/>
  <c r="B26" i="4"/>
  <c r="B14" i="4"/>
  <c r="F157" i="3"/>
  <c r="G157" i="3"/>
  <c r="F145" i="3"/>
  <c r="G145" i="3"/>
  <c r="F133" i="3"/>
  <c r="G133" i="3"/>
  <c r="F121" i="3"/>
  <c r="G121" i="3"/>
  <c r="F109" i="3"/>
  <c r="G109" i="3"/>
  <c r="F97" i="3"/>
  <c r="G97" i="3"/>
  <c r="F85" i="3"/>
  <c r="G85" i="3"/>
  <c r="F73" i="3"/>
  <c r="G73" i="3"/>
  <c r="F61" i="3"/>
  <c r="G61" i="3"/>
  <c r="F49" i="3"/>
  <c r="G49" i="3"/>
  <c r="F37" i="3"/>
  <c r="G37" i="3"/>
  <c r="F25" i="3"/>
  <c r="G25" i="3"/>
  <c r="F13" i="3"/>
  <c r="G13" i="3"/>
  <c r="B157" i="3"/>
  <c r="B145" i="3"/>
  <c r="B133" i="3"/>
  <c r="B121" i="3"/>
  <c r="B109" i="3"/>
  <c r="B97" i="3"/>
  <c r="B85" i="3"/>
  <c r="B73" i="3"/>
  <c r="B61" i="3"/>
  <c r="B49" i="3"/>
  <c r="B37" i="3"/>
  <c r="B25" i="3"/>
  <c r="B13" i="3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35" i="2"/>
  <c r="N14" i="2"/>
  <c r="M14" i="2"/>
  <c r="L14" i="2"/>
  <c r="K14" i="2"/>
  <c r="J14" i="2"/>
  <c r="I14" i="2"/>
  <c r="H14" i="2"/>
  <c r="G14" i="2"/>
  <c r="F14" i="2"/>
  <c r="E14" i="2"/>
  <c r="D14" i="2"/>
  <c r="O14" i="2" s="1"/>
  <c r="C14" i="2"/>
  <c r="B14" i="2"/>
  <c r="A14" i="2"/>
  <c r="I157" i="1"/>
  <c r="G157" i="1"/>
  <c r="F157" i="1"/>
  <c r="J157" i="1" s="1"/>
  <c r="I145" i="1"/>
  <c r="G145" i="1"/>
  <c r="F145" i="1"/>
  <c r="J145" i="1" s="1"/>
  <c r="I133" i="1"/>
  <c r="G133" i="1"/>
  <c r="F133" i="1"/>
  <c r="J133" i="1" s="1"/>
  <c r="I121" i="1"/>
  <c r="G121" i="1"/>
  <c r="F121" i="1"/>
  <c r="H121" i="1" s="1"/>
  <c r="I109" i="1"/>
  <c r="G109" i="1"/>
  <c r="F109" i="1"/>
  <c r="I97" i="1"/>
  <c r="G97" i="1"/>
  <c r="F97" i="1"/>
  <c r="H97" i="1" s="1"/>
  <c r="I85" i="1"/>
  <c r="G85" i="1"/>
  <c r="F85" i="1"/>
  <c r="J85" i="1" s="1"/>
  <c r="I73" i="1"/>
  <c r="G73" i="1"/>
  <c r="I61" i="1"/>
  <c r="J61" i="1"/>
  <c r="G61" i="1"/>
  <c r="F61" i="1"/>
  <c r="I49" i="1"/>
  <c r="G49" i="1"/>
  <c r="I37" i="1"/>
  <c r="G37" i="1"/>
  <c r="F37" i="1"/>
  <c r="I25" i="1"/>
  <c r="G25" i="1"/>
  <c r="F25" i="1"/>
  <c r="J25" i="1" s="1"/>
  <c r="I12" i="1"/>
  <c r="I13" i="1"/>
  <c r="G13" i="1"/>
  <c r="F13" i="1"/>
  <c r="J13" i="1" s="1"/>
  <c r="F12" i="1"/>
  <c r="J12" i="1" s="1"/>
  <c r="M157" i="1"/>
  <c r="E157" i="1"/>
  <c r="B157" i="1"/>
  <c r="M145" i="1"/>
  <c r="E145" i="1"/>
  <c r="B145" i="1"/>
  <c r="M133" i="1"/>
  <c r="E133" i="1"/>
  <c r="B133" i="1"/>
  <c r="M121" i="1"/>
  <c r="E121" i="1"/>
  <c r="B121" i="1"/>
  <c r="M109" i="1"/>
  <c r="E109" i="1"/>
  <c r="B109" i="1"/>
  <c r="M97" i="1"/>
  <c r="E97" i="1"/>
  <c r="B97" i="1"/>
  <c r="M85" i="1"/>
  <c r="E85" i="1"/>
  <c r="B85" i="1"/>
  <c r="M73" i="1"/>
  <c r="E73" i="1"/>
  <c r="B73" i="1"/>
  <c r="M61" i="1"/>
  <c r="E61" i="1"/>
  <c r="B61" i="1"/>
  <c r="M49" i="1"/>
  <c r="E49" i="1"/>
  <c r="B49" i="1"/>
  <c r="L55" i="1"/>
  <c r="M37" i="1"/>
  <c r="E37" i="1"/>
  <c r="B37" i="1"/>
  <c r="M25" i="1"/>
  <c r="E25" i="1"/>
  <c r="B25" i="1"/>
  <c r="M13" i="1"/>
  <c r="E13" i="1"/>
  <c r="B13" i="1"/>
  <c r="F157" i="4"/>
  <c r="G157" i="4"/>
  <c r="H157" i="4" s="1"/>
  <c r="F145" i="4"/>
  <c r="G145" i="4"/>
  <c r="H145" i="4" s="1"/>
  <c r="F133" i="4"/>
  <c r="G133" i="4"/>
  <c r="H133" i="4"/>
  <c r="F121" i="4"/>
  <c r="G121" i="4"/>
  <c r="H121" i="4"/>
  <c r="F109" i="4"/>
  <c r="G109" i="4"/>
  <c r="H109" i="4"/>
  <c r="F97" i="4"/>
  <c r="G97" i="4"/>
  <c r="H97" i="4" s="1"/>
  <c r="F85" i="4"/>
  <c r="G85" i="4"/>
  <c r="H85" i="4"/>
  <c r="F73" i="4"/>
  <c r="G73" i="4"/>
  <c r="H73" i="4" s="1"/>
  <c r="F61" i="4"/>
  <c r="G61" i="4"/>
  <c r="H61" i="4" s="1"/>
  <c r="F49" i="4"/>
  <c r="G49" i="4"/>
  <c r="H49" i="4" s="1"/>
  <c r="F37" i="4"/>
  <c r="G37" i="4"/>
  <c r="H37" i="4" s="1"/>
  <c r="F25" i="4"/>
  <c r="G25" i="4"/>
  <c r="H25" i="4"/>
  <c r="G13" i="4"/>
  <c r="H13" i="4" s="1"/>
  <c r="F13" i="4"/>
  <c r="B157" i="4"/>
  <c r="B145" i="4"/>
  <c r="B133" i="4"/>
  <c r="B121" i="4"/>
  <c r="B109" i="4"/>
  <c r="B97" i="4"/>
  <c r="B85" i="4"/>
  <c r="B73" i="4"/>
  <c r="B61" i="4"/>
  <c r="B49" i="4"/>
  <c r="B37" i="4"/>
  <c r="B25" i="4"/>
  <c r="B13" i="4"/>
  <c r="F156" i="3"/>
  <c r="G156" i="3"/>
  <c r="F144" i="3"/>
  <c r="G144" i="3"/>
  <c r="F132" i="3"/>
  <c r="G132" i="3"/>
  <c r="F120" i="3"/>
  <c r="G120" i="3"/>
  <c r="F108" i="3"/>
  <c r="G108" i="3"/>
  <c r="F96" i="3"/>
  <c r="G96" i="3"/>
  <c r="F84" i="3"/>
  <c r="G84" i="3"/>
  <c r="F72" i="3"/>
  <c r="G72" i="3"/>
  <c r="F60" i="3"/>
  <c r="G60" i="3"/>
  <c r="F48" i="3"/>
  <c r="G48" i="3"/>
  <c r="F36" i="3"/>
  <c r="G36" i="3"/>
  <c r="F24" i="3"/>
  <c r="G24" i="3"/>
  <c r="G12" i="3"/>
  <c r="F12" i="3"/>
  <c r="B156" i="3"/>
  <c r="B144" i="3"/>
  <c r="B132" i="3"/>
  <c r="B120" i="3"/>
  <c r="B108" i="3"/>
  <c r="B96" i="3"/>
  <c r="B84" i="3"/>
  <c r="B72" i="3"/>
  <c r="B60" i="3"/>
  <c r="B48" i="3"/>
  <c r="B36" i="3"/>
  <c r="B24" i="3"/>
  <c r="B12" i="3"/>
  <c r="N34" i="2"/>
  <c r="M34" i="2"/>
  <c r="L34" i="2"/>
  <c r="K34" i="2"/>
  <c r="J34" i="2"/>
  <c r="I34" i="2"/>
  <c r="H34" i="2"/>
  <c r="G34" i="2"/>
  <c r="F34" i="2"/>
  <c r="E34" i="2"/>
  <c r="D34" i="2"/>
  <c r="D44" i="2" s="1"/>
  <c r="C34" i="2"/>
  <c r="B34" i="2"/>
  <c r="A34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13" i="2"/>
  <c r="F119" i="1"/>
  <c r="J119" i="1"/>
  <c r="F46" i="1"/>
  <c r="J46" i="1" s="1"/>
  <c r="H156" i="1"/>
  <c r="M156" i="1"/>
  <c r="I156" i="1"/>
  <c r="J156" i="1"/>
  <c r="G156" i="1"/>
  <c r="F156" i="1"/>
  <c r="E156" i="1"/>
  <c r="M144" i="1"/>
  <c r="I144" i="1"/>
  <c r="G144" i="1"/>
  <c r="F144" i="1"/>
  <c r="H144" i="1" s="1"/>
  <c r="E144" i="1"/>
  <c r="M132" i="1"/>
  <c r="I132" i="1"/>
  <c r="G132" i="1"/>
  <c r="F132" i="1"/>
  <c r="H132" i="1" s="1"/>
  <c r="E132" i="1"/>
  <c r="H120" i="1"/>
  <c r="M120" i="1"/>
  <c r="I120" i="1"/>
  <c r="G120" i="1"/>
  <c r="F120" i="1"/>
  <c r="J120" i="1" s="1"/>
  <c r="E120" i="1"/>
  <c r="M108" i="1"/>
  <c r="I108" i="1"/>
  <c r="G108" i="1"/>
  <c r="F108" i="1"/>
  <c r="E108" i="1"/>
  <c r="M96" i="1"/>
  <c r="I96" i="1"/>
  <c r="J96" i="1"/>
  <c r="G96" i="1"/>
  <c r="H96" i="1" s="1"/>
  <c r="F96" i="1"/>
  <c r="E96" i="1"/>
  <c r="M84" i="1"/>
  <c r="I84" i="1"/>
  <c r="G84" i="1"/>
  <c r="F84" i="1"/>
  <c r="J84" i="1" s="1"/>
  <c r="E84" i="1"/>
  <c r="M72" i="1"/>
  <c r="I72" i="1"/>
  <c r="G72" i="1"/>
  <c r="E72" i="1"/>
  <c r="M60" i="1"/>
  <c r="I60" i="1"/>
  <c r="G60" i="1"/>
  <c r="F60" i="1"/>
  <c r="E60" i="1"/>
  <c r="M48" i="1"/>
  <c r="I48" i="1"/>
  <c r="G48" i="1"/>
  <c r="E48" i="1"/>
  <c r="M36" i="1"/>
  <c r="I36" i="1"/>
  <c r="G36" i="1"/>
  <c r="F36" i="1"/>
  <c r="J36" i="1" s="1"/>
  <c r="E36" i="1"/>
  <c r="M24" i="1"/>
  <c r="I24" i="1"/>
  <c r="J24" i="1"/>
  <c r="G24" i="1"/>
  <c r="H24" i="1" s="1"/>
  <c r="F24" i="1"/>
  <c r="E24" i="1"/>
  <c r="M12" i="1"/>
  <c r="E12" i="1"/>
  <c r="G12" i="1"/>
  <c r="B156" i="1"/>
  <c r="B144" i="1"/>
  <c r="B132" i="1"/>
  <c r="B120" i="1"/>
  <c r="B108" i="1"/>
  <c r="B96" i="1"/>
  <c r="B84" i="1"/>
  <c r="B72" i="1"/>
  <c r="B60" i="1"/>
  <c r="B48" i="1"/>
  <c r="B36" i="1"/>
  <c r="B24" i="1"/>
  <c r="B12" i="1"/>
  <c r="G156" i="4"/>
  <c r="H156" i="4"/>
  <c r="F156" i="4"/>
  <c r="G144" i="4"/>
  <c r="H144" i="4"/>
  <c r="F144" i="4"/>
  <c r="G132" i="4"/>
  <c r="H132" i="4"/>
  <c r="F132" i="4"/>
  <c r="G120" i="4"/>
  <c r="H120" i="4"/>
  <c r="F120" i="4"/>
  <c r="G108" i="4"/>
  <c r="H108" i="4" s="1"/>
  <c r="F108" i="4"/>
  <c r="G96" i="4"/>
  <c r="H96" i="4" s="1"/>
  <c r="F96" i="4"/>
  <c r="G84" i="4"/>
  <c r="H84" i="4" s="1"/>
  <c r="F84" i="4"/>
  <c r="G72" i="4"/>
  <c r="H72" i="4" s="1"/>
  <c r="F72" i="4"/>
  <c r="G60" i="4"/>
  <c r="H60" i="4"/>
  <c r="F60" i="4"/>
  <c r="G48" i="4"/>
  <c r="H48" i="4"/>
  <c r="F48" i="4"/>
  <c r="G36" i="4"/>
  <c r="H36" i="4"/>
  <c r="F36" i="4"/>
  <c r="G24" i="4"/>
  <c r="H24" i="4" s="1"/>
  <c r="F24" i="4"/>
  <c r="G12" i="4"/>
  <c r="H12" i="4"/>
  <c r="F12" i="4"/>
  <c r="B156" i="4"/>
  <c r="B144" i="4"/>
  <c r="B132" i="4"/>
  <c r="B120" i="4"/>
  <c r="B108" i="4"/>
  <c r="B96" i="4"/>
  <c r="B84" i="4"/>
  <c r="B72" i="4"/>
  <c r="B60" i="4"/>
  <c r="B48" i="4"/>
  <c r="B36" i="4"/>
  <c r="B24" i="4"/>
  <c r="B12" i="4"/>
  <c r="G155" i="3"/>
  <c r="F155" i="3"/>
  <c r="G143" i="3"/>
  <c r="F143" i="3"/>
  <c r="G131" i="3"/>
  <c r="F131" i="3"/>
  <c r="G119" i="3"/>
  <c r="F119" i="3"/>
  <c r="G107" i="3"/>
  <c r="F107" i="3"/>
  <c r="G95" i="3"/>
  <c r="F95" i="3"/>
  <c r="G83" i="3"/>
  <c r="F83" i="3"/>
  <c r="G71" i="3"/>
  <c r="F71" i="3"/>
  <c r="G59" i="3"/>
  <c r="F59" i="3"/>
  <c r="G47" i="3"/>
  <c r="F47" i="3"/>
  <c r="G35" i="3"/>
  <c r="F35" i="3"/>
  <c r="G23" i="3"/>
  <c r="F23" i="3"/>
  <c r="G11" i="3"/>
  <c r="F11" i="3"/>
  <c r="B155" i="3"/>
  <c r="B143" i="3"/>
  <c r="B131" i="3"/>
  <c r="B119" i="3"/>
  <c r="B107" i="3"/>
  <c r="B95" i="3"/>
  <c r="B83" i="3"/>
  <c r="B71" i="3"/>
  <c r="B59" i="3"/>
  <c r="B47" i="3"/>
  <c r="B35" i="3"/>
  <c r="B23" i="3"/>
  <c r="B11" i="3"/>
  <c r="C33" i="2"/>
  <c r="N33" i="2"/>
  <c r="M33" i="2"/>
  <c r="L33" i="2"/>
  <c r="K33" i="2"/>
  <c r="J33" i="2"/>
  <c r="I33" i="2"/>
  <c r="H33" i="2"/>
  <c r="G33" i="2"/>
  <c r="F33" i="2"/>
  <c r="E33" i="2"/>
  <c r="E44" i="2" s="1"/>
  <c r="D33" i="2"/>
  <c r="B33" i="2"/>
  <c r="O33" i="2" s="1"/>
  <c r="N12" i="2"/>
  <c r="M12" i="2"/>
  <c r="L12" i="2"/>
  <c r="K12" i="2"/>
  <c r="J12" i="2"/>
  <c r="I12" i="2"/>
  <c r="H12" i="2"/>
  <c r="G12" i="2"/>
  <c r="F12" i="2"/>
  <c r="O12" i="2" s="1"/>
  <c r="E12" i="2"/>
  <c r="D12" i="2"/>
  <c r="C12" i="2"/>
  <c r="B12" i="2"/>
  <c r="A33" i="2"/>
  <c r="A12" i="2"/>
  <c r="F70" i="1"/>
  <c r="J70" i="1" s="1"/>
  <c r="F82" i="1"/>
  <c r="H82" i="1" s="1"/>
  <c r="M155" i="1"/>
  <c r="I155" i="1"/>
  <c r="E155" i="1"/>
  <c r="G155" i="1"/>
  <c r="F155" i="1"/>
  <c r="J155" i="1" s="1"/>
  <c r="H155" i="1"/>
  <c r="M143" i="1"/>
  <c r="I143" i="1"/>
  <c r="E143" i="1"/>
  <c r="G143" i="1"/>
  <c r="F143" i="1"/>
  <c r="M131" i="1"/>
  <c r="I131" i="1"/>
  <c r="H131" i="1"/>
  <c r="E131" i="1"/>
  <c r="G131" i="1"/>
  <c r="F131" i="1"/>
  <c r="J131" i="1"/>
  <c r="M119" i="1"/>
  <c r="I119" i="1"/>
  <c r="E119" i="1"/>
  <c r="G119" i="1"/>
  <c r="M107" i="1"/>
  <c r="I107" i="1"/>
  <c r="E107" i="1"/>
  <c r="G107" i="1"/>
  <c r="F107" i="1"/>
  <c r="J107" i="1" s="1"/>
  <c r="H107" i="1"/>
  <c r="M95" i="1"/>
  <c r="I95" i="1"/>
  <c r="E95" i="1"/>
  <c r="G95" i="1"/>
  <c r="F95" i="1"/>
  <c r="M83" i="1"/>
  <c r="I83" i="1"/>
  <c r="E83" i="1"/>
  <c r="G83" i="1"/>
  <c r="F83" i="1"/>
  <c r="J83" i="1" s="1"/>
  <c r="M71" i="1"/>
  <c r="I71" i="1"/>
  <c r="E71" i="1"/>
  <c r="G71" i="1"/>
  <c r="F71" i="1"/>
  <c r="M59" i="1"/>
  <c r="J59" i="1"/>
  <c r="I59" i="1"/>
  <c r="E59" i="1"/>
  <c r="G59" i="1"/>
  <c r="F59" i="1"/>
  <c r="H59" i="1"/>
  <c r="M47" i="1"/>
  <c r="I47" i="1"/>
  <c r="E47" i="1"/>
  <c r="G47" i="1"/>
  <c r="H47" i="1" s="1"/>
  <c r="M35" i="1"/>
  <c r="I35" i="1"/>
  <c r="E35" i="1"/>
  <c r="G35" i="1"/>
  <c r="F35" i="1"/>
  <c r="H35" i="1" s="1"/>
  <c r="J35" i="1"/>
  <c r="M23" i="1"/>
  <c r="I23" i="1"/>
  <c r="E23" i="1"/>
  <c r="G23" i="1"/>
  <c r="F23" i="1"/>
  <c r="M11" i="1"/>
  <c r="J11" i="1"/>
  <c r="I11" i="1"/>
  <c r="E11" i="1"/>
  <c r="G11" i="1"/>
  <c r="H11" i="1" s="1"/>
  <c r="F11" i="1"/>
  <c r="B155" i="1"/>
  <c r="B143" i="1"/>
  <c r="B131" i="1"/>
  <c r="B119" i="1"/>
  <c r="B107" i="1"/>
  <c r="B95" i="1"/>
  <c r="B83" i="1"/>
  <c r="B71" i="1"/>
  <c r="B59" i="1"/>
  <c r="B47" i="1"/>
  <c r="B35" i="1"/>
  <c r="B23" i="1"/>
  <c r="B11" i="1"/>
  <c r="G155" i="4"/>
  <c r="H155" i="4" s="1"/>
  <c r="F155" i="4"/>
  <c r="G143" i="4"/>
  <c r="H143" i="4" s="1"/>
  <c r="F143" i="4"/>
  <c r="G131" i="4"/>
  <c r="H131" i="4"/>
  <c r="F131" i="4"/>
  <c r="G119" i="4"/>
  <c r="H119" i="4"/>
  <c r="F119" i="4"/>
  <c r="G107" i="4"/>
  <c r="H107" i="4"/>
  <c r="F107" i="4"/>
  <c r="G95" i="4"/>
  <c r="H95" i="4" s="1"/>
  <c r="F95" i="4"/>
  <c r="G83" i="4"/>
  <c r="H83" i="4" s="1"/>
  <c r="F83" i="4"/>
  <c r="G71" i="4"/>
  <c r="H71" i="4" s="1"/>
  <c r="F71" i="4"/>
  <c r="G59" i="4"/>
  <c r="H59" i="4"/>
  <c r="F59" i="4"/>
  <c r="G47" i="4"/>
  <c r="H47" i="4" s="1"/>
  <c r="F47" i="4"/>
  <c r="G35" i="4"/>
  <c r="H35" i="4" s="1"/>
  <c r="F35" i="4"/>
  <c r="G23" i="4"/>
  <c r="H23" i="4" s="1"/>
  <c r="F23" i="4"/>
  <c r="G11" i="4"/>
  <c r="H11" i="4" s="1"/>
  <c r="F11" i="4"/>
  <c r="B155" i="4"/>
  <c r="B143" i="4"/>
  <c r="B131" i="4"/>
  <c r="B119" i="4"/>
  <c r="B107" i="4"/>
  <c r="B95" i="4"/>
  <c r="B83" i="4"/>
  <c r="B71" i="4"/>
  <c r="B59" i="4"/>
  <c r="B47" i="4"/>
  <c r="B35" i="4"/>
  <c r="B23" i="4"/>
  <c r="B11" i="4"/>
  <c r="G154" i="3"/>
  <c r="F154" i="3"/>
  <c r="G142" i="3"/>
  <c r="F142" i="3"/>
  <c r="G130" i="3"/>
  <c r="F130" i="3"/>
  <c r="G118" i="3"/>
  <c r="F118" i="3"/>
  <c r="G106" i="3"/>
  <c r="F106" i="3"/>
  <c r="G94" i="3"/>
  <c r="F94" i="3"/>
  <c r="G82" i="3"/>
  <c r="F82" i="3"/>
  <c r="G70" i="3"/>
  <c r="F70" i="3"/>
  <c r="G58" i="3"/>
  <c r="F58" i="3"/>
  <c r="G46" i="3"/>
  <c r="F46" i="3"/>
  <c r="G34" i="3"/>
  <c r="F34" i="3"/>
  <c r="G22" i="3"/>
  <c r="F22" i="3"/>
  <c r="G10" i="3"/>
  <c r="F10" i="3"/>
  <c r="B154" i="3"/>
  <c r="B142" i="3"/>
  <c r="B130" i="3"/>
  <c r="B118" i="3"/>
  <c r="B106" i="3"/>
  <c r="B94" i="3"/>
  <c r="B82" i="3"/>
  <c r="B70" i="3"/>
  <c r="B58" i="3"/>
  <c r="B46" i="3"/>
  <c r="B34" i="3"/>
  <c r="B22" i="3"/>
  <c r="B10" i="3"/>
  <c r="N32" i="2"/>
  <c r="M32" i="2"/>
  <c r="L32" i="2"/>
  <c r="K32" i="2"/>
  <c r="J32" i="2"/>
  <c r="I32" i="2"/>
  <c r="H32" i="2"/>
  <c r="H44" i="2" s="1"/>
  <c r="G32" i="2"/>
  <c r="F32" i="2"/>
  <c r="C32" i="2"/>
  <c r="E32" i="2"/>
  <c r="D32" i="2"/>
  <c r="B32" i="2"/>
  <c r="N11" i="2"/>
  <c r="M11" i="2"/>
  <c r="M23" i="2" s="1"/>
  <c r="L11" i="2"/>
  <c r="K11" i="2"/>
  <c r="J11" i="2"/>
  <c r="I11" i="2"/>
  <c r="H11" i="2"/>
  <c r="G11" i="2"/>
  <c r="F11" i="2"/>
  <c r="E11" i="2"/>
  <c r="D11" i="2"/>
  <c r="C11" i="2"/>
  <c r="B11" i="2"/>
  <c r="A32" i="2"/>
  <c r="A11" i="2"/>
  <c r="M154" i="1"/>
  <c r="I154" i="1"/>
  <c r="E154" i="1"/>
  <c r="G154" i="1"/>
  <c r="F154" i="1"/>
  <c r="J154" i="1" s="1"/>
  <c r="H154" i="1"/>
  <c r="M142" i="1"/>
  <c r="I142" i="1"/>
  <c r="E142" i="1"/>
  <c r="G142" i="1"/>
  <c r="F142" i="1"/>
  <c r="J142" i="1" s="1"/>
  <c r="M130" i="1"/>
  <c r="I130" i="1"/>
  <c r="E130" i="1"/>
  <c r="G130" i="1"/>
  <c r="F130" i="1"/>
  <c r="J130" i="1"/>
  <c r="M118" i="1"/>
  <c r="I118" i="1"/>
  <c r="E118" i="1"/>
  <c r="G118" i="1"/>
  <c r="F118" i="1"/>
  <c r="J118" i="1" s="1"/>
  <c r="H118" i="1"/>
  <c r="M106" i="1"/>
  <c r="I106" i="1"/>
  <c r="E106" i="1"/>
  <c r="G106" i="1"/>
  <c r="F106" i="1"/>
  <c r="J106" i="1" s="1"/>
  <c r="M94" i="1"/>
  <c r="I94" i="1"/>
  <c r="E94" i="1"/>
  <c r="G94" i="1"/>
  <c r="F94" i="1"/>
  <c r="J94" i="1" s="1"/>
  <c r="M82" i="1"/>
  <c r="I82" i="1"/>
  <c r="E82" i="1"/>
  <c r="G82" i="1"/>
  <c r="M70" i="1"/>
  <c r="I70" i="1"/>
  <c r="E70" i="1"/>
  <c r="G70" i="1"/>
  <c r="M58" i="1"/>
  <c r="I58" i="1"/>
  <c r="E58" i="1"/>
  <c r="G58" i="1"/>
  <c r="F58" i="1"/>
  <c r="M46" i="1"/>
  <c r="I46" i="1"/>
  <c r="E46" i="1"/>
  <c r="G46" i="1"/>
  <c r="M34" i="1"/>
  <c r="I34" i="1"/>
  <c r="E34" i="1"/>
  <c r="G34" i="1"/>
  <c r="F34" i="1"/>
  <c r="H34" i="1"/>
  <c r="M22" i="1"/>
  <c r="I22" i="1"/>
  <c r="H22" i="1"/>
  <c r="E22" i="1"/>
  <c r="G22" i="1"/>
  <c r="F22" i="1"/>
  <c r="J22" i="1" s="1"/>
  <c r="M10" i="1"/>
  <c r="J10" i="1"/>
  <c r="I10" i="1"/>
  <c r="E10" i="1"/>
  <c r="F9" i="1"/>
  <c r="J9" i="1" s="1"/>
  <c r="G10" i="1"/>
  <c r="F10" i="1"/>
  <c r="H10" i="1"/>
  <c r="B154" i="1"/>
  <c r="B142" i="1"/>
  <c r="B130" i="1"/>
  <c r="B118" i="1"/>
  <c r="B106" i="1"/>
  <c r="B94" i="1"/>
  <c r="B82" i="1"/>
  <c r="B70" i="1"/>
  <c r="B58" i="1"/>
  <c r="B46" i="1"/>
  <c r="B34" i="1"/>
  <c r="B22" i="1"/>
  <c r="B10" i="1"/>
  <c r="F70" i="4"/>
  <c r="B154" i="4"/>
  <c r="B142" i="4"/>
  <c r="B130" i="4"/>
  <c r="B118" i="4"/>
  <c r="B106" i="4"/>
  <c r="B94" i="4"/>
  <c r="B82" i="4"/>
  <c r="B70" i="4"/>
  <c r="B58" i="4"/>
  <c r="B46" i="4"/>
  <c r="B34" i="4"/>
  <c r="B22" i="4"/>
  <c r="B10" i="4"/>
  <c r="F69" i="3"/>
  <c r="B153" i="3"/>
  <c r="B141" i="3"/>
  <c r="B129" i="3"/>
  <c r="B117" i="3"/>
  <c r="B105" i="3"/>
  <c r="B93" i="3"/>
  <c r="B81" i="3"/>
  <c r="B69" i="3"/>
  <c r="B57" i="3"/>
  <c r="B45" i="3"/>
  <c r="B33" i="3"/>
  <c r="B21" i="3"/>
  <c r="B9" i="3"/>
  <c r="A31" i="2"/>
  <c r="A10" i="2"/>
  <c r="G153" i="1"/>
  <c r="F153" i="1"/>
  <c r="F163" i="1" s="1"/>
  <c r="G141" i="1"/>
  <c r="F141" i="1"/>
  <c r="J141" i="1"/>
  <c r="G129" i="1"/>
  <c r="F129" i="1"/>
  <c r="F139" i="1" s="1"/>
  <c r="G117" i="1"/>
  <c r="F117" i="1"/>
  <c r="J117" i="1" s="1"/>
  <c r="H117" i="1"/>
  <c r="G105" i="1"/>
  <c r="F105" i="1"/>
  <c r="G93" i="1"/>
  <c r="F93" i="1"/>
  <c r="G81" i="1"/>
  <c r="G91" i="1" s="1"/>
  <c r="F81" i="1"/>
  <c r="J81" i="1" s="1"/>
  <c r="M69" i="1"/>
  <c r="G69" i="1"/>
  <c r="G79" i="1" s="1"/>
  <c r="F69" i="1"/>
  <c r="E69" i="1"/>
  <c r="G57" i="1"/>
  <c r="G67" i="1" s="1"/>
  <c r="F57" i="1"/>
  <c r="H57" i="1" s="1"/>
  <c r="G45" i="1"/>
  <c r="G33" i="1"/>
  <c r="F33" i="1"/>
  <c r="J33" i="1" s="1"/>
  <c r="G21" i="1"/>
  <c r="F21" i="1"/>
  <c r="G9" i="1"/>
  <c r="B153" i="1"/>
  <c r="B141" i="1"/>
  <c r="B129" i="1"/>
  <c r="B117" i="1"/>
  <c r="B105" i="1"/>
  <c r="B93" i="1"/>
  <c r="B81" i="1"/>
  <c r="B69" i="1"/>
  <c r="B57" i="1"/>
  <c r="B45" i="1"/>
  <c r="B33" i="1"/>
  <c r="B21" i="1"/>
  <c r="B9" i="1"/>
  <c r="F154" i="4"/>
  <c r="F153" i="3"/>
  <c r="G31" i="2"/>
  <c r="G10" i="2"/>
  <c r="M153" i="1"/>
  <c r="E153" i="1"/>
  <c r="E80" i="4"/>
  <c r="D80" i="4"/>
  <c r="C80" i="4"/>
  <c r="G70" i="4"/>
  <c r="H70" i="4"/>
  <c r="E79" i="3"/>
  <c r="D79" i="3"/>
  <c r="F79" i="3" s="1"/>
  <c r="C79" i="3"/>
  <c r="G69" i="3"/>
  <c r="L79" i="1"/>
  <c r="M79" i="1" s="1"/>
  <c r="D79" i="1"/>
  <c r="C79" i="1"/>
  <c r="I69" i="1"/>
  <c r="G154" i="4"/>
  <c r="H154" i="4"/>
  <c r="G153" i="3"/>
  <c r="I153" i="1"/>
  <c r="D19" i="1"/>
  <c r="D31" i="1"/>
  <c r="D43" i="1"/>
  <c r="D55" i="1"/>
  <c r="D67" i="1"/>
  <c r="D91" i="1"/>
  <c r="D103" i="1"/>
  <c r="D115" i="1"/>
  <c r="D127" i="1"/>
  <c r="D139" i="1"/>
  <c r="D151" i="1"/>
  <c r="D163" i="1"/>
  <c r="C163" i="1"/>
  <c r="C164" i="4"/>
  <c r="G164" i="4" s="1"/>
  <c r="H164" i="4" s="1"/>
  <c r="D164" i="4"/>
  <c r="C163" i="3"/>
  <c r="D163" i="3"/>
  <c r="G163" i="3" s="1"/>
  <c r="E20" i="4"/>
  <c r="E32" i="4"/>
  <c r="E44" i="4"/>
  <c r="E56" i="4"/>
  <c r="E68" i="4"/>
  <c r="E92" i="4"/>
  <c r="E104" i="4"/>
  <c r="E116" i="4"/>
  <c r="E128" i="4"/>
  <c r="E140" i="4"/>
  <c r="F140" i="4" s="1"/>
  <c r="E152" i="4"/>
  <c r="E164" i="4"/>
  <c r="D20" i="4"/>
  <c r="D32" i="4"/>
  <c r="D44" i="4"/>
  <c r="G44" i="4" s="1"/>
  <c r="H44" i="4" s="1"/>
  <c r="F44" i="4"/>
  <c r="D56" i="4"/>
  <c r="D68" i="4"/>
  <c r="F68" i="4" s="1"/>
  <c r="D92" i="4"/>
  <c r="D104" i="4"/>
  <c r="D116" i="4"/>
  <c r="G116" i="4" s="1"/>
  <c r="H116" i="4" s="1"/>
  <c r="D128" i="4"/>
  <c r="D140" i="4"/>
  <c r="D152" i="4"/>
  <c r="C20" i="4"/>
  <c r="G20" i="4" s="1"/>
  <c r="H20" i="4" s="1"/>
  <c r="C32" i="4"/>
  <c r="C44" i="4"/>
  <c r="C56" i="4"/>
  <c r="C68" i="4"/>
  <c r="C92" i="4"/>
  <c r="G92" i="4" s="1"/>
  <c r="H92" i="4" s="1"/>
  <c r="C104" i="4"/>
  <c r="C116" i="4"/>
  <c r="C128" i="4"/>
  <c r="C140" i="4"/>
  <c r="C152" i="4"/>
  <c r="F118" i="4"/>
  <c r="E19" i="3"/>
  <c r="F19" i="3" s="1"/>
  <c r="E31" i="3"/>
  <c r="E43" i="3"/>
  <c r="F43" i="3" s="1"/>
  <c r="E55" i="3"/>
  <c r="E67" i="3"/>
  <c r="E91" i="3"/>
  <c r="E103" i="3"/>
  <c r="F103" i="3" s="1"/>
  <c r="E115" i="3"/>
  <c r="E127" i="3"/>
  <c r="E139" i="3"/>
  <c r="E151" i="3"/>
  <c r="F151" i="3" s="1"/>
  <c r="E163" i="3"/>
  <c r="D19" i="3"/>
  <c r="D31" i="3"/>
  <c r="F31" i="3" s="1"/>
  <c r="D43" i="3"/>
  <c r="G43" i="3" s="1"/>
  <c r="D55" i="3"/>
  <c r="D67" i="3"/>
  <c r="G67" i="3" s="1"/>
  <c r="D91" i="3"/>
  <c r="F91" i="3" s="1"/>
  <c r="D103" i="3"/>
  <c r="D115" i="3"/>
  <c r="D127" i="3"/>
  <c r="D139" i="3"/>
  <c r="D151" i="3"/>
  <c r="C19" i="3"/>
  <c r="C31" i="3"/>
  <c r="C43" i="3"/>
  <c r="C55" i="3"/>
  <c r="C67" i="3"/>
  <c r="C91" i="3"/>
  <c r="C103" i="3"/>
  <c r="G103" i="3" s="1"/>
  <c r="C115" i="3"/>
  <c r="C165" i="3" s="1"/>
  <c r="C127" i="3"/>
  <c r="C139" i="3"/>
  <c r="C151" i="3"/>
  <c r="F117" i="3"/>
  <c r="M117" i="1"/>
  <c r="E117" i="1"/>
  <c r="L19" i="1"/>
  <c r="L31" i="1"/>
  <c r="M31" i="1"/>
  <c r="L43" i="1"/>
  <c r="L165" i="1" s="1"/>
  <c r="L67" i="1"/>
  <c r="L91" i="1"/>
  <c r="L103" i="1"/>
  <c r="L115" i="1"/>
  <c r="L127" i="1"/>
  <c r="M127" i="1"/>
  <c r="L139" i="1"/>
  <c r="M139" i="1"/>
  <c r="L151" i="1"/>
  <c r="K19" i="1"/>
  <c r="K31" i="1"/>
  <c r="C19" i="1"/>
  <c r="E19" i="1" s="1"/>
  <c r="C31" i="1"/>
  <c r="E31" i="1" s="1"/>
  <c r="C43" i="1"/>
  <c r="C55" i="1"/>
  <c r="C67" i="1"/>
  <c r="E67" i="1" s="1"/>
  <c r="I67" i="1"/>
  <c r="C91" i="1"/>
  <c r="C103" i="1"/>
  <c r="C115" i="1"/>
  <c r="I115" i="1" s="1"/>
  <c r="C127" i="1"/>
  <c r="E127" i="1" s="1"/>
  <c r="C139" i="1"/>
  <c r="C151" i="1"/>
  <c r="E151" i="1" s="1"/>
  <c r="E129" i="1"/>
  <c r="I129" i="1"/>
  <c r="M129" i="1"/>
  <c r="K127" i="1"/>
  <c r="F142" i="4"/>
  <c r="K31" i="2"/>
  <c r="K10" i="2"/>
  <c r="K23" i="2" s="1"/>
  <c r="K55" i="1"/>
  <c r="J55" i="1" s="1"/>
  <c r="K67" i="1"/>
  <c r="M67" i="1" s="1"/>
  <c r="K91" i="1"/>
  <c r="M91" i="1" s="1"/>
  <c r="K103" i="1"/>
  <c r="M103" i="1" s="1"/>
  <c r="K115" i="1"/>
  <c r="K151" i="1"/>
  <c r="I117" i="1"/>
  <c r="G118" i="4"/>
  <c r="H118" i="4"/>
  <c r="G117" i="3"/>
  <c r="F94" i="4"/>
  <c r="F93" i="3"/>
  <c r="N31" i="2"/>
  <c r="M31" i="2"/>
  <c r="L31" i="2"/>
  <c r="J31" i="2"/>
  <c r="I31" i="2"/>
  <c r="H31" i="2"/>
  <c r="F31" i="2"/>
  <c r="E31" i="2"/>
  <c r="C31" i="2"/>
  <c r="B31" i="2"/>
  <c r="M93" i="1"/>
  <c r="E93" i="1"/>
  <c r="I10" i="2"/>
  <c r="G94" i="4"/>
  <c r="H94" i="4"/>
  <c r="G106" i="4"/>
  <c r="H106" i="4" s="1"/>
  <c r="F106" i="4"/>
  <c r="G93" i="3"/>
  <c r="I93" i="1"/>
  <c r="F10" i="4"/>
  <c r="G10" i="4"/>
  <c r="H10" i="4" s="1"/>
  <c r="I9" i="1"/>
  <c r="I21" i="1"/>
  <c r="I45" i="1"/>
  <c r="I57" i="1"/>
  <c r="I81" i="1"/>
  <c r="I105" i="1"/>
  <c r="I141" i="1"/>
  <c r="E9" i="1"/>
  <c r="M9" i="1"/>
  <c r="E21" i="1"/>
  <c r="M21" i="1"/>
  <c r="E33" i="1"/>
  <c r="E45" i="1"/>
  <c r="M45" i="1"/>
  <c r="E57" i="1"/>
  <c r="M57" i="1"/>
  <c r="E81" i="1"/>
  <c r="M81" i="1"/>
  <c r="E105" i="1"/>
  <c r="M105" i="1"/>
  <c r="E141" i="1"/>
  <c r="M141" i="1"/>
  <c r="F22" i="4"/>
  <c r="G22" i="4"/>
  <c r="H22" i="4" s="1"/>
  <c r="F34" i="4"/>
  <c r="G34" i="4"/>
  <c r="H34" i="4" s="1"/>
  <c r="F46" i="4"/>
  <c r="G46" i="4"/>
  <c r="H46" i="4"/>
  <c r="F58" i="4"/>
  <c r="G58" i="4"/>
  <c r="H58" i="4" s="1"/>
  <c r="F82" i="4"/>
  <c r="G82" i="4"/>
  <c r="H82" i="4" s="1"/>
  <c r="F130" i="4"/>
  <c r="G130" i="4"/>
  <c r="H130" i="4"/>
  <c r="G142" i="4"/>
  <c r="H142" i="4" s="1"/>
  <c r="F9" i="3"/>
  <c r="F21" i="3"/>
  <c r="G21" i="3"/>
  <c r="F33" i="3"/>
  <c r="G33" i="3"/>
  <c r="F45" i="3"/>
  <c r="G45" i="3"/>
  <c r="F57" i="3"/>
  <c r="G57" i="3"/>
  <c r="F81" i="3"/>
  <c r="G81" i="3"/>
  <c r="F105" i="3"/>
  <c r="G105" i="3"/>
  <c r="F129" i="3"/>
  <c r="G129" i="3"/>
  <c r="F141" i="3"/>
  <c r="G141" i="3"/>
  <c r="G9" i="3"/>
  <c r="B10" i="2"/>
  <c r="C10" i="2"/>
  <c r="D10" i="2"/>
  <c r="E10" i="2"/>
  <c r="F10" i="2"/>
  <c r="H10" i="2"/>
  <c r="H23" i="2" s="1"/>
  <c r="J10" i="2"/>
  <c r="J23" i="2" s="1"/>
  <c r="L10" i="2"/>
  <c r="M10" i="2"/>
  <c r="N10" i="2"/>
  <c r="I33" i="1"/>
  <c r="M33" i="1"/>
  <c r="K43" i="1"/>
  <c r="D31" i="2"/>
  <c r="K139" i="1"/>
  <c r="H81" i="1"/>
  <c r="L163" i="1"/>
  <c r="H141" i="1"/>
  <c r="H105" i="1"/>
  <c r="J105" i="1"/>
  <c r="H119" i="1"/>
  <c r="H130" i="1"/>
  <c r="J95" i="1"/>
  <c r="J143" i="1"/>
  <c r="H85" i="1"/>
  <c r="H61" i="1"/>
  <c r="J98" i="1"/>
  <c r="F92" i="4"/>
  <c r="G91" i="3"/>
  <c r="J50" i="1"/>
  <c r="H159" i="1"/>
  <c r="M167" i="1"/>
  <c r="F167" i="3"/>
  <c r="G168" i="4"/>
  <c r="H168" i="4" s="1"/>
  <c r="G19" i="3"/>
  <c r="I167" i="1"/>
  <c r="F55" i="1"/>
  <c r="O18" i="2"/>
  <c r="E163" i="1"/>
  <c r="I103" i="1"/>
  <c r="I91" i="1"/>
  <c r="E23" i="2"/>
  <c r="L23" i="2" l="1"/>
  <c r="I139" i="1"/>
  <c r="H86" i="1"/>
  <c r="G79" i="3"/>
  <c r="G55" i="1"/>
  <c r="H55" i="1" s="1"/>
  <c r="H12" i="1"/>
  <c r="H84" i="1"/>
  <c r="J144" i="1"/>
  <c r="J97" i="1"/>
  <c r="G43" i="1"/>
  <c r="O16" i="2"/>
  <c r="J16" i="1"/>
  <c r="O17" i="2"/>
  <c r="O38" i="2"/>
  <c r="J17" i="1"/>
  <c r="M55" i="1"/>
  <c r="F19" i="1"/>
  <c r="J19" i="1" s="1"/>
  <c r="G163" i="1"/>
  <c r="O15" i="2"/>
  <c r="G31" i="3"/>
  <c r="I127" i="1"/>
  <c r="E103" i="1"/>
  <c r="M115" i="1"/>
  <c r="G152" i="4"/>
  <c r="H152" i="4" s="1"/>
  <c r="F116" i="4"/>
  <c r="H93" i="1"/>
  <c r="G139" i="1"/>
  <c r="H139" i="1" s="1"/>
  <c r="H142" i="1"/>
  <c r="F44" i="2"/>
  <c r="J132" i="1"/>
  <c r="H49" i="1"/>
  <c r="H109" i="1"/>
  <c r="O35" i="2"/>
  <c r="H158" i="1"/>
  <c r="H161" i="1"/>
  <c r="E167" i="1"/>
  <c r="G167" i="1"/>
  <c r="L44" i="2"/>
  <c r="E43" i="1"/>
  <c r="F67" i="1"/>
  <c r="E115" i="1"/>
  <c r="C166" i="4"/>
  <c r="H153" i="1"/>
  <c r="G103" i="1"/>
  <c r="G165" i="1" s="1"/>
  <c r="H94" i="1"/>
  <c r="J146" i="1"/>
  <c r="J27" i="1"/>
  <c r="H113" i="1"/>
  <c r="H48" i="1"/>
  <c r="H33" i="1"/>
  <c r="G55" i="3"/>
  <c r="F67" i="3"/>
  <c r="E91" i="1"/>
  <c r="J109" i="1"/>
  <c r="G23" i="2"/>
  <c r="O37" i="2"/>
  <c r="H149" i="1"/>
  <c r="I55" i="1"/>
  <c r="G68" i="4"/>
  <c r="H68" i="4" s="1"/>
  <c r="F23" i="2"/>
  <c r="G44" i="2"/>
  <c r="F20" i="4"/>
  <c r="J57" i="1"/>
  <c r="O34" i="2"/>
  <c r="N23" i="2"/>
  <c r="H25" i="1"/>
  <c r="H9" i="1"/>
  <c r="G151" i="3"/>
  <c r="F55" i="3"/>
  <c r="F152" i="4"/>
  <c r="J153" i="1"/>
  <c r="G31" i="1"/>
  <c r="J82" i="1"/>
  <c r="K44" i="2"/>
  <c r="H98" i="1"/>
  <c r="J15" i="1"/>
  <c r="H51" i="1"/>
  <c r="J99" i="1"/>
  <c r="H53" i="1"/>
  <c r="H101" i="1"/>
  <c r="O39" i="2"/>
  <c r="J139" i="1"/>
  <c r="H38" i="1"/>
  <c r="J38" i="1"/>
  <c r="G128" i="4"/>
  <c r="H128" i="4" s="1"/>
  <c r="F128" i="4"/>
  <c r="H122" i="1"/>
  <c r="J122" i="1"/>
  <c r="F139" i="3"/>
  <c r="G139" i="3"/>
  <c r="O31" i="2"/>
  <c r="G127" i="3"/>
  <c r="F127" i="3"/>
  <c r="F80" i="4"/>
  <c r="G80" i="4"/>
  <c r="H80" i="4" s="1"/>
  <c r="J23" i="1"/>
  <c r="H23" i="1"/>
  <c r="H83" i="1"/>
  <c r="D165" i="1"/>
  <c r="J75" i="1"/>
  <c r="H75" i="1"/>
  <c r="F103" i="1"/>
  <c r="H103" i="1" s="1"/>
  <c r="J121" i="1"/>
  <c r="I23" i="2"/>
  <c r="I44" i="2"/>
  <c r="H163" i="1"/>
  <c r="H39" i="1"/>
  <c r="J111" i="1"/>
  <c r="H111" i="1"/>
  <c r="H145" i="1"/>
  <c r="G151" i="1"/>
  <c r="J147" i="1"/>
  <c r="H147" i="1"/>
  <c r="M43" i="1"/>
  <c r="I43" i="1"/>
  <c r="G32" i="4"/>
  <c r="H32" i="4" s="1"/>
  <c r="F32" i="4"/>
  <c r="F43" i="1"/>
  <c r="H43" i="1" s="1"/>
  <c r="H125" i="1"/>
  <c r="J125" i="1"/>
  <c r="J58" i="1"/>
  <c r="H58" i="1"/>
  <c r="B44" i="2"/>
  <c r="J93" i="1"/>
  <c r="O10" i="2"/>
  <c r="C23" i="2"/>
  <c r="M19" i="1"/>
  <c r="I19" i="1"/>
  <c r="F104" i="4"/>
  <c r="G104" i="4"/>
  <c r="H104" i="4" s="1"/>
  <c r="J21" i="1"/>
  <c r="F31" i="1"/>
  <c r="H21" i="1"/>
  <c r="F163" i="3"/>
  <c r="E165" i="3"/>
  <c r="D166" i="4"/>
  <c r="F56" i="4"/>
  <c r="G56" i="4"/>
  <c r="H56" i="4" s="1"/>
  <c r="F127" i="1"/>
  <c r="G115" i="1"/>
  <c r="H60" i="1"/>
  <c r="J60" i="1"/>
  <c r="F79" i="1"/>
  <c r="H79" i="1" s="1"/>
  <c r="H106" i="1"/>
  <c r="F115" i="1"/>
  <c r="O11" i="2"/>
  <c r="C44" i="2"/>
  <c r="H143" i="1"/>
  <c r="F151" i="1"/>
  <c r="J62" i="1"/>
  <c r="H62" i="1"/>
  <c r="J73" i="1"/>
  <c r="H73" i="1"/>
  <c r="K163" i="1"/>
  <c r="I158" i="1"/>
  <c r="N36" i="2"/>
  <c r="N44" i="2" s="1"/>
  <c r="J76" i="1"/>
  <c r="H76" i="1"/>
  <c r="J160" i="1"/>
  <c r="H160" i="1"/>
  <c r="C165" i="1"/>
  <c r="I31" i="1"/>
  <c r="G140" i="4"/>
  <c r="H140" i="4" s="1"/>
  <c r="E166" i="4"/>
  <c r="H36" i="1"/>
  <c r="J108" i="1"/>
  <c r="H108" i="1"/>
  <c r="H13" i="1"/>
  <c r="J37" i="1"/>
  <c r="H37" i="1"/>
  <c r="O32" i="2"/>
  <c r="F164" i="4"/>
  <c r="J34" i="1"/>
  <c r="E79" i="1"/>
  <c r="H69" i="1"/>
  <c r="H70" i="1"/>
  <c r="H95" i="1"/>
  <c r="J110" i="1"/>
  <c r="H110" i="1"/>
  <c r="J64" i="1"/>
  <c r="H64" i="1"/>
  <c r="F167" i="1"/>
  <c r="J65" i="1"/>
  <c r="O13" i="2"/>
  <c r="F91" i="1"/>
  <c r="H91" i="1" s="1"/>
  <c r="J87" i="1"/>
  <c r="H87" i="1"/>
  <c r="J100" i="1"/>
  <c r="H100" i="1"/>
  <c r="J45" i="1"/>
  <c r="H45" i="1"/>
  <c r="E139" i="1"/>
  <c r="G115" i="3"/>
  <c r="F115" i="3"/>
  <c r="G127" i="1"/>
  <c r="H46" i="1"/>
  <c r="J44" i="2"/>
  <c r="H74" i="1"/>
  <c r="J74" i="1"/>
  <c r="J52" i="1"/>
  <c r="H52" i="1"/>
  <c r="B23" i="2"/>
  <c r="D23" i="2"/>
  <c r="M44" i="2"/>
  <c r="M151" i="1"/>
  <c r="I151" i="1"/>
  <c r="E55" i="1"/>
  <c r="D165" i="3"/>
  <c r="J69" i="1"/>
  <c r="G19" i="1"/>
  <c r="H19" i="1" s="1"/>
  <c r="J129" i="1"/>
  <c r="H129" i="1"/>
  <c r="J71" i="1"/>
  <c r="H71" i="1"/>
  <c r="H133" i="1"/>
  <c r="H157" i="1"/>
  <c r="H134" i="1"/>
  <c r="J88" i="1"/>
  <c r="H88" i="1"/>
  <c r="H65" i="1"/>
  <c r="H67" i="1" l="1"/>
  <c r="J67" i="1"/>
  <c r="J79" i="1"/>
  <c r="J43" i="1"/>
  <c r="F165" i="1"/>
  <c r="H165" i="1" s="1"/>
  <c r="M163" i="1"/>
  <c r="I163" i="1"/>
  <c r="J163" i="1"/>
  <c r="K165" i="1"/>
  <c r="J127" i="1"/>
  <c r="H127" i="1"/>
  <c r="H31" i="1"/>
  <c r="J31" i="1"/>
  <c r="E165" i="1"/>
  <c r="H115" i="1"/>
  <c r="J115" i="1"/>
  <c r="H167" i="1"/>
  <c r="J167" i="1"/>
  <c r="F166" i="4"/>
  <c r="G166" i="4"/>
  <c r="H166" i="4" s="1"/>
  <c r="O36" i="2"/>
  <c r="O44" i="2" s="1"/>
  <c r="G165" i="3"/>
  <c r="F165" i="3"/>
  <c r="J103" i="1"/>
  <c r="J151" i="1"/>
  <c r="H151" i="1"/>
  <c r="J91" i="1"/>
  <c r="O23" i="2"/>
  <c r="M165" i="1" l="1"/>
  <c r="I165" i="1"/>
  <c r="J165" i="1"/>
</calcChain>
</file>

<file path=xl/sharedStrings.xml><?xml version="1.0" encoding="utf-8"?>
<sst xmlns="http://schemas.openxmlformats.org/spreadsheetml/2006/main" count="196" uniqueCount="77">
  <si>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</si>
  <si>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</si>
  <si>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</si>
  <si>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</si>
  <si>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</si>
  <si>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</si>
  <si>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</si>
  <si>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</si>
  <si>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</si>
  <si>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</si>
  <si>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</si>
  <si>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</si>
  <si>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</si>
  <si>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</si>
  <si>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</si>
  <si>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</si>
  <si>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>HARRAHS NKC</t>
  </si>
  <si>
    <t>ISLE OF CAPRI - KC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</si>
  <si>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</si>
  <si>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</si>
  <si>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</si>
  <si>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</si>
  <si>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</si>
  <si>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</si>
  <si>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</si>
  <si>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</si>
  <si>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</si>
  <si>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</si>
  <si>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</si>
  <si>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</si>
  <si>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</si>
  <si>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</si>
  <si>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</si>
  <si>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</si>
  <si>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</si>
  <si>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</si>
  <si>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</si>
  <si>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</si>
  <si>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</si>
  <si>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>HARRAHS NORTH KC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</si>
  <si>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</si>
  <si>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</si>
  <si>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</si>
  <si>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</si>
  <si>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</si>
  <si>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</si>
  <si>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</si>
  <si>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</si>
  <si>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</si>
  <si>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</si>
  <si>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</si>
  <si>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</si>
  <si>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</si>
  <si>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</si>
  <si>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</si>
  <si>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</si>
  <si>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IOC - LADY LUCK</t>
  </si>
  <si>
    <t>RIVER CITY</t>
  </si>
  <si>
    <t xml:space="preserve">RIVER CITY </t>
  </si>
  <si>
    <t xml:space="preserve">MARK TWAIN </t>
  </si>
  <si>
    <t xml:space="preserve">IOC - LADY LUCK </t>
  </si>
  <si>
    <t>IOC - CAPE GIRARDEAU</t>
  </si>
  <si>
    <t>HOLLYWOOD</t>
  </si>
  <si>
    <t>ST. JO FRONTIER</t>
  </si>
  <si>
    <t xml:space="preserve">ST. JO FRONTIER </t>
  </si>
  <si>
    <t>Lumiere Place was purchased by Tropicana 4/1/14</t>
  </si>
  <si>
    <t xml:space="preserve">FISCAL 2015 YTD ADMISSIONS, PATRONS AND AGR SUMMARY </t>
  </si>
  <si>
    <t xml:space="preserve">HOLLYWOOD </t>
  </si>
  <si>
    <t xml:space="preserve">IOC - CAPE GIRARDEAU </t>
  </si>
  <si>
    <t>LUMIERE PLACE *</t>
  </si>
  <si>
    <t>* Lumiere Place was purchased by Tropicana 4/1/14</t>
  </si>
  <si>
    <t>MONTH ENDED:   MARCH 31, 2015</t>
  </si>
  <si>
    <t>(as reported on the tax remittal database dtd 4/9/15)</t>
  </si>
  <si>
    <t>FOR THE MONTH ENDED:   MARCH 31, 2015</t>
  </si>
  <si>
    <t>THRU MONTH ENDED:   MARCH 31, 2015</t>
  </si>
  <si>
    <t>(as reported on the tax remittal database as of 4/9/15)</t>
  </si>
  <si>
    <t>THRU MONTH ENDED:     MARCH 31,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</si>
</sst>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;[Red]\-General"/>
    <numFmt numFmtId="165" formatCode="0.000%"/>
    <numFmt numFmtId="166" formatCode="#,##0.00;[Red]\-#,##0.00"/>
    <numFmt numFmtId="167" formatCode="0.0%"/>
  </numFmts>
  <fonts count="16" x14ac:knownFonts="1">
    <font>
      <sz val="12"/>
      <name val="Arial"/>
    </font>
    <font>
      <b/>
      <sz val="10"/>
      <name val="Arial"/>
    </font>
    <font>
      <sz val="12"/>
      <name val="Arial"/>
    </font>
    <font>
      <b/>
      <sz val="14"/>
      <name val="Arial"/>
    </font>
    <font>
      <b/>
      <i/>
      <sz val="14"/>
      <name val="Arial"/>
    </font>
    <font>
      <b/>
      <sz val="11"/>
      <name val="Arial"/>
    </font>
    <font>
      <b/>
      <sz val="12"/>
      <name val="Arial"/>
    </font>
    <font>
      <b/>
      <u/>
      <sz val="12"/>
      <name val="Arial"/>
    </font>
    <font>
      <b/>
      <sz val="18"/>
      <name val="Arial"/>
    </font>
    <font>
      <b/>
      <i/>
      <u/>
      <sz val="14"/>
      <name val="Arial"/>
    </font>
    <font>
      <b/>
      <i/>
      <u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</borders>
  <cellStyleXfs count="4">
    <xf numFmtId="164" fontId="0" fillId="0" borderId="0"/>
    <xf numFmtId="0" fontId="2" fillId="0" borderId="0"/>
    <xf numFmtId="0" fontId="2" fillId="0" borderId="0"/>
    <xf numFmtId="0" fontId="2" fillId="0" borderId="0"/>
  </cellStyleXfs>
  <cellXfs count="290">
    <xf numFmtId="164" fontId="2" fillId="0" borderId="0" xfId="0" applyNumberFormat="1" applyFont="1" applyAlignment="1" applyProtection="1">
      <protection locked="0"/>
    </xf>
    <xf numFmtId="0" fontId="3" fillId="0" borderId="0" xfId="0" applyNumberFormat="1" applyFont="1" applyAlignment="1"/>
    <xf numFmtId="164" fontId="0" fillId="0" borderId="0" xfId="0" applyFont="1" applyAlignment="1"/>
    <xf numFmtId="164" fontId="0" fillId="0" borderId="0" xfId="0" applyNumberFormat="1" applyFont="1" applyAlignment="1" applyProtection="1">
      <protection locked="0"/>
    </xf>
    <xf numFmtId="0" fontId="4" fillId="0" borderId="0" xfId="0" applyNumberFormat="1" applyFont="1" applyAlignment="1"/>
    <xf numFmtId="164" fontId="1" fillId="0" borderId="0" xfId="0" applyFont="1" applyAlignment="1">
      <alignment horizontal="center"/>
    </xf>
    <xf numFmtId="164" fontId="0" fillId="2" borderId="1" xfId="0" applyFont="1" applyFill="1" applyBorder="1" applyAlignment="1"/>
    <xf numFmtId="164" fontId="5" fillId="2" borderId="2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4" fontId="0" fillId="0" borderId="0" xfId="0" applyBorder="1"/>
    <xf numFmtId="164" fontId="6" fillId="2" borderId="4" xfId="0" applyFont="1" applyFill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0" fillId="3" borderId="5" xfId="0" applyFill="1" applyBorder="1" applyAlignment="1">
      <alignment horizontal="center"/>
    </xf>
    <xf numFmtId="164" fontId="5" fillId="3" borderId="6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3" borderId="2" xfId="0" applyFont="1" applyFill="1" applyBorder="1" applyAlignment="1">
      <alignment horizontal="center"/>
    </xf>
    <xf numFmtId="164" fontId="7" fillId="3" borderId="3" xfId="0" applyFont="1" applyFill="1" applyBorder="1" applyAlignment="1">
      <alignment horizontal="center"/>
    </xf>
    <xf numFmtId="166" fontId="6" fillId="0" borderId="4" xfId="0" applyNumberFormat="1" applyFont="1" applyBorder="1" applyAlignment="1"/>
    <xf numFmtId="17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9" fontId="0" fillId="3" borderId="6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/>
    <xf numFmtId="164" fontId="0" fillId="2" borderId="2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9" fontId="0" fillId="3" borderId="2" xfId="0" applyNumberFormat="1" applyFont="1" applyFill="1" applyBorder="1" applyAlignment="1">
      <alignment horizontal="center"/>
    </xf>
    <xf numFmtId="9" fontId="6" fillId="3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/>
    <xf numFmtId="164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9" fontId="0" fillId="3" borderId="3" xfId="0" applyNumberFormat="1" applyFont="1" applyFill="1" applyBorder="1" applyAlignment="1">
      <alignment horizontal="center"/>
    </xf>
    <xf numFmtId="166" fontId="0" fillId="0" borderId="4" xfId="0" applyNumberFormat="1" applyFont="1" applyBorder="1" applyAlignment="1"/>
    <xf numFmtId="166" fontId="6" fillId="2" borderId="7" xfId="0" applyNumberFormat="1" applyFont="1" applyFill="1" applyBorder="1" applyAlignment="1"/>
    <xf numFmtId="164" fontId="0" fillId="2" borderId="8" xfId="0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9" fontId="6" fillId="3" borderId="8" xfId="0" applyNumberFormat="1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9" fontId="6" fillId="3" borderId="9" xfId="0" applyNumberFormat="1" applyFont="1" applyFill="1" applyBorder="1" applyAlignment="1">
      <alignment horizontal="center"/>
    </xf>
    <xf numFmtId="164" fontId="0" fillId="0" borderId="5" xfId="0" applyFont="1" applyBorder="1" applyAlignment="1">
      <alignment horizontal="center"/>
    </xf>
    <xf numFmtId="9" fontId="0" fillId="3" borderId="10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3" borderId="11" xfId="0" applyNumberFormat="1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9" fontId="6" fillId="3" borderId="10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3" borderId="2" xfId="0" applyNumberFormat="1" applyFont="1" applyFill="1" applyBorder="1" applyAlignment="1"/>
    <xf numFmtId="164" fontId="0" fillId="3" borderId="3" xfId="0" applyNumberFormat="1" applyFont="1" applyFill="1" applyBorder="1" applyAlignment="1"/>
    <xf numFmtId="164" fontId="0" fillId="0" borderId="4" xfId="0" applyNumberFormat="1" applyBorder="1"/>
    <xf numFmtId="164" fontId="0" fillId="0" borderId="5" xfId="0" applyNumberFormat="1" applyBorder="1"/>
    <xf numFmtId="164" fontId="0" fillId="3" borderId="5" xfId="0" applyNumberFormat="1" applyFont="1" applyFill="1" applyBorder="1" applyAlignment="1"/>
    <xf numFmtId="164" fontId="0" fillId="3" borderId="6" xfId="0" applyNumberFormat="1" applyFont="1" applyFill="1" applyBorder="1" applyAlignment="1"/>
    <xf numFmtId="166" fontId="6" fillId="2" borderId="12" xfId="0" applyNumberFormat="1" applyFont="1" applyFill="1" applyBorder="1" applyAlignment="1"/>
    <xf numFmtId="166" fontId="0" fillId="0" borderId="1" xfId="0" applyNumberFormat="1" applyFont="1" applyBorder="1" applyAlignment="1"/>
    <xf numFmtId="166" fontId="6" fillId="2" borderId="1" xfId="0" applyNumberFormat="1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6" fontId="0" fillId="0" borderId="13" xfId="0" applyNumberFormat="1" applyFont="1" applyBorder="1" applyAlignment="1"/>
    <xf numFmtId="164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6" fontId="3" fillId="0" borderId="0" xfId="0" applyNumberFormat="1" applyFont="1" applyAlignment="1"/>
    <xf numFmtId="164" fontId="0" fillId="0" borderId="0" xfId="0" applyFont="1" applyAlignment="1">
      <alignment horizontal="center"/>
    </xf>
    <xf numFmtId="4" fontId="6" fillId="0" borderId="0" xfId="0" applyNumberFormat="1" applyFont="1" applyAlignment="1"/>
    <xf numFmtId="0" fontId="6" fillId="0" borderId="0" xfId="0" applyNumberFormat="1" applyFont="1" applyAlignment="1"/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/>
    <xf numFmtId="165" fontId="0" fillId="0" borderId="0" xfId="0" applyNumberFormat="1" applyFont="1" applyAlignment="1"/>
    <xf numFmtId="164" fontId="6" fillId="0" borderId="0" xfId="0" applyFont="1" applyAlignment="1"/>
    <xf numFmtId="17" fontId="0" fillId="0" borderId="0" xfId="0" applyNumberFormat="1" applyFont="1" applyAlignment="1"/>
    <xf numFmtId="0" fontId="8" fillId="0" borderId="0" xfId="3" applyFont="1" applyAlignment="1"/>
    <xf numFmtId="0" fontId="2" fillId="0" borderId="0" xfId="3" applyFont="1" applyAlignment="1"/>
    <xf numFmtId="0" fontId="2" fillId="0" borderId="0" xfId="3" applyNumberFormat="1" applyFont="1" applyAlignment="1" applyProtection="1">
      <protection locked="0"/>
    </xf>
    <xf numFmtId="0" fontId="2" fillId="3" borderId="1" xfId="3" applyFont="1" applyFill="1" applyBorder="1" applyAlignment="1"/>
    <xf numFmtId="0" fontId="6" fillId="3" borderId="1" xfId="3" applyFont="1" applyFill="1" applyBorder="1" applyAlignment="1">
      <alignment horizontal="center"/>
    </xf>
    <xf numFmtId="0" fontId="2" fillId="0" borderId="4" xfId="3" applyNumberFormat="1" applyBorder="1"/>
    <xf numFmtId="0" fontId="7" fillId="3" borderId="4" xfId="3" applyFont="1" applyFill="1" applyBorder="1" applyAlignment="1">
      <alignment horizontal="center"/>
    </xf>
    <xf numFmtId="0" fontId="2" fillId="3" borderId="4" xfId="3" applyFont="1" applyFill="1" applyBorder="1" applyAlignment="1"/>
    <xf numFmtId="0" fontId="2" fillId="2" borderId="1" xfId="3" applyFont="1" applyFill="1" applyBorder="1" applyAlignment="1"/>
    <xf numFmtId="0" fontId="2" fillId="0" borderId="1" xfId="3" applyFont="1" applyBorder="1" applyAlignment="1"/>
    <xf numFmtId="17" fontId="2" fillId="0" borderId="14" xfId="3" applyNumberFormat="1" applyFont="1" applyBorder="1" applyAlignment="1">
      <alignment horizontal="center"/>
    </xf>
    <xf numFmtId="3" fontId="2" fillId="0" borderId="14" xfId="3" applyNumberFormat="1" applyFont="1" applyBorder="1" applyAlignment="1">
      <alignment horizontal="center"/>
    </xf>
    <xf numFmtId="3" fontId="6" fillId="0" borderId="14" xfId="3" applyNumberFormat="1" applyFont="1" applyBorder="1" applyAlignment="1">
      <alignment horizontal="center"/>
    </xf>
    <xf numFmtId="17" fontId="7" fillId="0" borderId="14" xfId="3" applyNumberFormat="1" applyFont="1" applyBorder="1" applyAlignment="1">
      <alignment horizontal="center"/>
    </xf>
    <xf numFmtId="17" fontId="6" fillId="0" borderId="14" xfId="3" applyNumberFormat="1" applyFont="1" applyBorder="1" applyAlignment="1">
      <alignment horizontal="center"/>
    </xf>
    <xf numFmtId="17" fontId="2" fillId="0" borderId="13" xfId="3" applyNumberFormat="1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2" fillId="0" borderId="13" xfId="3" applyNumberFormat="1" applyFont="1" applyBorder="1" applyAlignment="1">
      <alignment horizontal="center"/>
    </xf>
    <xf numFmtId="17" fontId="8" fillId="0" borderId="0" xfId="3" applyNumberFormat="1" applyFont="1" applyAlignment="1">
      <alignment horizontal="centerContinuous"/>
    </xf>
    <xf numFmtId="0" fontId="8" fillId="0" borderId="0" xfId="3" applyNumberFormat="1" applyFont="1" applyAlignment="1">
      <alignment horizontal="centerContinuous"/>
    </xf>
    <xf numFmtId="0" fontId="2" fillId="0" borderId="0" xfId="3" applyFont="1" applyAlignment="1">
      <alignment horizontal="center"/>
    </xf>
    <xf numFmtId="0" fontId="2" fillId="0" borderId="0" xfId="3" applyNumberFormat="1" applyFont="1" applyAlignment="1">
      <alignment horizontal="center"/>
    </xf>
    <xf numFmtId="17" fontId="2" fillId="3" borderId="1" xfId="3" applyNumberFormat="1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0" fontId="7" fillId="3" borderId="1" xfId="3" applyFont="1" applyFill="1" applyBorder="1" applyAlignment="1">
      <alignment horizontal="center"/>
    </xf>
    <xf numFmtId="0" fontId="2" fillId="3" borderId="1" xfId="3" applyNumberFormat="1" applyFont="1" applyFill="1" applyBorder="1" applyAlignment="1">
      <alignment horizontal="center"/>
    </xf>
    <xf numFmtId="0" fontId="6" fillId="3" borderId="1" xfId="3" applyNumberFormat="1" applyFont="1" applyFill="1" applyBorder="1" applyAlignment="1">
      <alignment horizontal="center"/>
    </xf>
    <xf numFmtId="17" fontId="7" fillId="3" borderId="4" xfId="3" applyNumberFormat="1" applyFont="1" applyFill="1" applyBorder="1" applyAlignment="1">
      <alignment horizontal="center"/>
    </xf>
    <xf numFmtId="0" fontId="7" fillId="3" borderId="4" xfId="3" applyNumberFormat="1" applyFont="1" applyFill="1" applyBorder="1" applyAlignment="1">
      <alignment horizontal="center"/>
    </xf>
    <xf numFmtId="17" fontId="2" fillId="3" borderId="4" xfId="3" applyNumberFormat="1" applyFont="1" applyFill="1" applyBorder="1" applyAlignment="1">
      <alignment horizontal="center"/>
    </xf>
    <xf numFmtId="0" fontId="2" fillId="3" borderId="4" xfId="3" applyFont="1" applyFill="1" applyBorder="1" applyAlignment="1">
      <alignment horizontal="center"/>
    </xf>
    <xf numFmtId="0" fontId="2" fillId="3" borderId="4" xfId="3" applyNumberFormat="1" applyFont="1" applyFill="1" applyBorder="1" applyAlignment="1">
      <alignment horizontal="center"/>
    </xf>
    <xf numFmtId="17" fontId="2" fillId="2" borderId="1" xfId="3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2" borderId="1" xfId="3" applyNumberFormat="1" applyFont="1" applyFill="1" applyBorder="1" applyAlignment="1">
      <alignment horizontal="center"/>
    </xf>
    <xf numFmtId="4" fontId="2" fillId="0" borderId="13" xfId="3" applyNumberFormat="1" applyFont="1" applyBorder="1" applyAlignment="1">
      <alignment horizontal="center"/>
    </xf>
    <xf numFmtId="0" fontId="7" fillId="0" borderId="0" xfId="3" applyFont="1" applyAlignment="1">
      <alignment horizontal="left"/>
    </xf>
    <xf numFmtId="0" fontId="3" fillId="0" borderId="0" xfId="2" applyNumberFormat="1" applyFont="1" applyAlignment="1"/>
    <xf numFmtId="0" fontId="2" fillId="0" borderId="0" xfId="2" applyNumberFormat="1" applyFont="1" applyAlignment="1"/>
    <xf numFmtId="0" fontId="2" fillId="0" borderId="0" xfId="2" applyAlignment="1"/>
    <xf numFmtId="0" fontId="4" fillId="0" borderId="0" xfId="2" applyNumberFormat="1" applyFont="1" applyAlignment="1"/>
    <xf numFmtId="0" fontId="2" fillId="2" borderId="1" xfId="2" applyNumberFormat="1" applyFont="1" applyFill="1" applyBorder="1" applyAlignment="1"/>
    <xf numFmtId="0" fontId="6" fillId="2" borderId="2" xfId="2" applyNumberFormat="1" applyFont="1" applyFill="1" applyBorder="1" applyAlignment="1">
      <alignment horizontal="center"/>
    </xf>
    <xf numFmtId="0" fontId="6" fillId="3" borderId="2" xfId="2" applyNumberFormat="1" applyFont="1" applyFill="1" applyBorder="1" applyAlignment="1">
      <alignment horizontal="center"/>
    </xf>
    <xf numFmtId="0" fontId="2" fillId="0" borderId="4" xfId="2" applyBorder="1"/>
    <xf numFmtId="0" fontId="6" fillId="2" borderId="15" xfId="2" applyNumberFormat="1" applyFont="1" applyFill="1" applyBorder="1" applyAlignment="1">
      <alignment horizontal="center"/>
    </xf>
    <xf numFmtId="0" fontId="6" fillId="2" borderId="16" xfId="2" applyNumberFormat="1" applyFont="1" applyFill="1" applyBorder="1" applyAlignment="1">
      <alignment horizontal="center"/>
    </xf>
    <xf numFmtId="0" fontId="6" fillId="3" borderId="16" xfId="2" applyNumberFormat="1" applyFont="1" applyFill="1" applyBorder="1" applyAlignment="1">
      <alignment horizontal="center"/>
    </xf>
    <xf numFmtId="0" fontId="7" fillId="0" borderId="4" xfId="2" applyNumberFormat="1" applyFont="1" applyBorder="1" applyAlignment="1">
      <alignment horizontal="center"/>
    </xf>
    <xf numFmtId="0" fontId="7" fillId="0" borderId="5" xfId="2" applyNumberFormat="1" applyFont="1" applyBorder="1" applyAlignment="1">
      <alignment horizontal="center"/>
    </xf>
    <xf numFmtId="0" fontId="7" fillId="3" borderId="5" xfId="2" applyNumberFormat="1" applyFont="1" applyFill="1" applyBorder="1" applyAlignment="1">
      <alignment horizontal="center"/>
    </xf>
    <xf numFmtId="166" fontId="6" fillId="0" borderId="4" xfId="2" applyNumberFormat="1" applyFont="1" applyBorder="1" applyAlignment="1"/>
    <xf numFmtId="17" fontId="2" fillId="0" borderId="5" xfId="2" applyNumberFormat="1" applyFont="1" applyBorder="1" applyAlignment="1">
      <alignment horizontal="center"/>
    </xf>
    <xf numFmtId="9" fontId="2" fillId="3" borderId="5" xfId="2" applyNumberFormat="1" applyFont="1" applyFill="1" applyBorder="1" applyAlignment="1">
      <alignment horizontal="center"/>
    </xf>
    <xf numFmtId="166" fontId="2" fillId="0" borderId="4" xfId="2" applyNumberFormat="1" applyFont="1" applyBorder="1" applyAlignment="1"/>
    <xf numFmtId="0" fontId="2" fillId="0" borderId="5" xfId="2" applyNumberFormat="1" applyFont="1" applyBorder="1" applyAlignment="1">
      <alignment horizontal="center"/>
    </xf>
    <xf numFmtId="166" fontId="6" fillId="2" borderId="1" xfId="2" applyNumberFormat="1" applyFont="1" applyFill="1" applyBorder="1" applyAlignment="1"/>
    <xf numFmtId="0" fontId="2" fillId="2" borderId="2" xfId="2" applyNumberFormat="1" applyFont="1" applyFill="1" applyBorder="1" applyAlignment="1">
      <alignment horizontal="center"/>
    </xf>
    <xf numFmtId="9" fontId="6" fillId="3" borderId="2" xfId="2" applyNumberFormat="1" applyFont="1" applyFill="1" applyBorder="1" applyAlignment="1">
      <alignment horizontal="center"/>
    </xf>
    <xf numFmtId="166" fontId="6" fillId="0" borderId="1" xfId="2" applyNumberFormat="1" applyFont="1" applyBorder="1" applyAlignment="1"/>
    <xf numFmtId="0" fontId="2" fillId="0" borderId="2" xfId="2" applyNumberFormat="1" applyFont="1" applyBorder="1" applyAlignment="1">
      <alignment horizontal="center"/>
    </xf>
    <xf numFmtId="9" fontId="2" fillId="3" borderId="2" xfId="2" applyNumberFormat="1" applyFont="1" applyFill="1" applyBorder="1" applyAlignment="1">
      <alignment horizontal="center"/>
    </xf>
    <xf numFmtId="166" fontId="6" fillId="2" borderId="7" xfId="2" applyNumberFormat="1" applyFont="1" applyFill="1" applyBorder="1" applyAlignment="1"/>
    <xf numFmtId="0" fontId="2" fillId="2" borderId="8" xfId="2" applyNumberFormat="1" applyFont="1" applyFill="1" applyBorder="1" applyAlignment="1">
      <alignment horizontal="center"/>
    </xf>
    <xf numFmtId="9" fontId="6" fillId="3" borderId="8" xfId="2" applyNumberFormat="1" applyFont="1" applyFill="1" applyBorder="1" applyAlignment="1">
      <alignment horizontal="center"/>
    </xf>
    <xf numFmtId="166" fontId="6" fillId="2" borderId="12" xfId="2" applyNumberFormat="1" applyFont="1" applyFill="1" applyBorder="1" applyAlignment="1"/>
    <xf numFmtId="0" fontId="2" fillId="2" borderId="10" xfId="2" applyNumberFormat="1" applyFont="1" applyFill="1" applyBorder="1" applyAlignment="1">
      <alignment horizontal="center"/>
    </xf>
    <xf numFmtId="166" fontId="2" fillId="0" borderId="1" xfId="2" applyNumberFormat="1" applyFont="1" applyBorder="1" applyAlignment="1"/>
    <xf numFmtId="166" fontId="6" fillId="2" borderId="1" xfId="2" applyNumberFormat="1" applyFont="1" applyFill="1" applyBorder="1" applyAlignment="1">
      <alignment horizontal="center"/>
    </xf>
    <xf numFmtId="4" fontId="6" fillId="0" borderId="0" xfId="2" applyNumberFormat="1" applyFont="1" applyAlignment="1"/>
    <xf numFmtId="0" fontId="3" fillId="0" borderId="0" xfId="1" applyNumberFormat="1" applyFont="1" applyAlignment="1"/>
    <xf numFmtId="0" fontId="2" fillId="0" borderId="0" xfId="1" applyNumberFormat="1" applyFont="1" applyAlignment="1"/>
    <xf numFmtId="0" fontId="2" fillId="0" borderId="0" xfId="1"/>
    <xf numFmtId="0" fontId="2" fillId="0" borderId="0" xfId="1" applyAlignment="1"/>
    <xf numFmtId="0" fontId="4" fillId="0" borderId="0" xfId="1" applyNumberFormat="1" applyFont="1" applyAlignment="1"/>
    <xf numFmtId="0" fontId="6" fillId="2" borderId="1" xfId="1" applyNumberFormat="1" applyFont="1" applyFill="1" applyBorder="1" applyAlignment="1">
      <alignment horizontal="center"/>
    </xf>
    <xf numFmtId="0" fontId="6" fillId="2" borderId="2" xfId="1" applyNumberFormat="1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center"/>
    </xf>
    <xf numFmtId="0" fontId="2" fillId="0" borderId="0" xfId="1" applyBorder="1"/>
    <xf numFmtId="0" fontId="6" fillId="2" borderId="4" xfId="1" applyNumberFormat="1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horizontal="center"/>
    </xf>
    <xf numFmtId="0" fontId="6" fillId="3" borderId="5" xfId="1" applyNumberFormat="1" applyFont="1" applyFill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0" fontId="7" fillId="3" borderId="2" xfId="1" applyNumberFormat="1" applyFont="1" applyFill="1" applyBorder="1" applyAlignment="1">
      <alignment horizontal="center"/>
    </xf>
    <xf numFmtId="166" fontId="6" fillId="0" borderId="4" xfId="1" applyNumberFormat="1" applyFont="1" applyBorder="1" applyAlignment="1"/>
    <xf numFmtId="17" fontId="2" fillId="0" borderId="5" xfId="1" applyNumberFormat="1" applyFont="1" applyBorder="1" applyAlignment="1">
      <alignment horizontal="center"/>
    </xf>
    <xf numFmtId="9" fontId="2" fillId="3" borderId="5" xfId="1" applyNumberFormat="1" applyFont="1" applyFill="1" applyBorder="1" applyAlignment="1">
      <alignment horizontal="center"/>
    </xf>
    <xf numFmtId="166" fontId="2" fillId="0" borderId="4" xfId="1" applyNumberFormat="1" applyFont="1" applyBorder="1" applyAlignment="1"/>
    <xf numFmtId="0" fontId="2" fillId="0" borderId="5" xfId="1" applyNumberFormat="1" applyFont="1" applyBorder="1" applyAlignment="1">
      <alignment horizontal="center"/>
    </xf>
    <xf numFmtId="166" fontId="6" fillId="2" borderId="1" xfId="1" applyNumberFormat="1" applyFont="1" applyFill="1" applyBorder="1" applyAlignment="1"/>
    <xf numFmtId="9" fontId="6" fillId="3" borderId="2" xfId="1" applyNumberFormat="1" applyFont="1" applyFill="1" applyBorder="1" applyAlignment="1">
      <alignment horizontal="center"/>
    </xf>
    <xf numFmtId="166" fontId="2" fillId="0" borderId="1" xfId="1" applyNumberFormat="1" applyFont="1" applyBorder="1" applyAlignment="1"/>
    <xf numFmtId="0" fontId="2" fillId="0" borderId="2" xfId="1" applyNumberFormat="1" applyFont="1" applyBorder="1" applyAlignment="1">
      <alignment horizontal="center"/>
    </xf>
    <xf numFmtId="9" fontId="2" fillId="3" borderId="2" xfId="1" applyNumberFormat="1" applyFont="1" applyFill="1" applyBorder="1" applyAlignment="1">
      <alignment horizontal="center"/>
    </xf>
    <xf numFmtId="166" fontId="6" fillId="2" borderId="7" xfId="1" applyNumberFormat="1" applyFont="1" applyFill="1" applyBorder="1" applyAlignment="1"/>
    <xf numFmtId="0" fontId="6" fillId="2" borderId="8" xfId="1" applyNumberFormat="1" applyFont="1" applyFill="1" applyBorder="1" applyAlignment="1">
      <alignment horizontal="center"/>
    </xf>
    <xf numFmtId="9" fontId="6" fillId="3" borderId="8" xfId="1" applyNumberFormat="1" applyFont="1" applyFill="1" applyBorder="1" applyAlignment="1">
      <alignment horizontal="center"/>
    </xf>
    <xf numFmtId="0" fontId="6" fillId="0" borderId="4" xfId="1" applyNumberFormat="1" applyFont="1" applyBorder="1" applyAlignment="1"/>
    <xf numFmtId="17" fontId="6" fillId="2" borderId="8" xfId="1" applyNumberFormat="1" applyFont="1" applyFill="1" applyBorder="1" applyAlignment="1">
      <alignment horizontal="center"/>
    </xf>
    <xf numFmtId="0" fontId="2" fillId="0" borderId="5" xfId="1" applyBorder="1"/>
    <xf numFmtId="0" fontId="2" fillId="3" borderId="5" xfId="1" applyFont="1" applyFill="1" applyBorder="1" applyAlignment="1"/>
    <xf numFmtId="0" fontId="2" fillId="2" borderId="8" xfId="1" applyNumberFormat="1" applyFont="1" applyFill="1" applyBorder="1" applyAlignment="1">
      <alignment horizontal="center"/>
    </xf>
    <xf numFmtId="166" fontId="6" fillId="2" borderId="12" xfId="1" applyNumberFormat="1" applyFont="1" applyFill="1" applyBorder="1" applyAlignment="1"/>
    <xf numFmtId="0" fontId="6" fillId="2" borderId="10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166" fontId="6" fillId="0" borderId="13" xfId="1" applyNumberFormat="1" applyFont="1" applyBorder="1" applyAlignment="1"/>
    <xf numFmtId="0" fontId="6" fillId="0" borderId="13" xfId="1" applyNumberFormat="1" applyFont="1" applyBorder="1" applyAlignment="1">
      <alignment horizontal="center"/>
    </xf>
    <xf numFmtId="4" fontId="6" fillId="0" borderId="13" xfId="1" applyNumberFormat="1" applyFont="1" applyBorder="1" applyAlignment="1">
      <alignment horizontal="center"/>
    </xf>
    <xf numFmtId="0" fontId="9" fillId="0" borderId="0" xfId="1" applyNumberFormat="1" applyFont="1" applyAlignment="1"/>
    <xf numFmtId="17" fontId="6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6" fillId="0" borderId="0" xfId="1" applyNumberFormat="1" applyFont="1" applyAlignment="1"/>
    <xf numFmtId="3" fontId="0" fillId="0" borderId="0" xfId="0" applyNumberFormat="1" applyFont="1" applyAlignment="1"/>
    <xf numFmtId="3" fontId="5" fillId="2" borderId="2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0" fillId="0" borderId="2" xfId="0" applyNumberFormat="1" applyBorder="1"/>
    <xf numFmtId="3" fontId="0" fillId="0" borderId="5" xfId="0" applyNumberFormat="1" applyBorder="1"/>
    <xf numFmtId="3" fontId="6" fillId="0" borderId="0" xfId="0" applyNumberFormat="1" applyFont="1" applyAlignment="1"/>
    <xf numFmtId="3" fontId="0" fillId="0" borderId="0" xfId="0" applyNumberFormat="1" applyFont="1" applyAlignment="1" applyProtection="1">
      <protection locked="0"/>
    </xf>
    <xf numFmtId="3" fontId="2" fillId="0" borderId="0" xfId="2" applyNumberFormat="1" applyFont="1" applyAlignment="1"/>
    <xf numFmtId="3" fontId="6" fillId="2" borderId="2" xfId="2" applyNumberFormat="1" applyFont="1" applyFill="1" applyBorder="1" applyAlignment="1">
      <alignment horizontal="center"/>
    </xf>
    <xf numFmtId="3" fontId="6" fillId="2" borderId="16" xfId="2" applyNumberFormat="1" applyFont="1" applyFill="1" applyBorder="1" applyAlignment="1">
      <alignment horizontal="center"/>
    </xf>
    <xf numFmtId="3" fontId="7" fillId="0" borderId="5" xfId="2" applyNumberFormat="1" applyFont="1" applyBorder="1" applyAlignment="1">
      <alignment horizontal="center"/>
    </xf>
    <xf numFmtId="3" fontId="2" fillId="0" borderId="5" xfId="2" applyNumberFormat="1" applyFont="1" applyBorder="1" applyAlignment="1">
      <alignment horizontal="center"/>
    </xf>
    <xf numFmtId="3" fontId="2" fillId="0" borderId="2" xfId="2" applyNumberFormat="1" applyFont="1" applyBorder="1" applyAlignment="1">
      <alignment horizontal="center"/>
    </xf>
    <xf numFmtId="3" fontId="6" fillId="2" borderId="8" xfId="2" applyNumberFormat="1" applyFont="1" applyFill="1" applyBorder="1" applyAlignment="1">
      <alignment horizontal="center"/>
    </xf>
    <xf numFmtId="3" fontId="6" fillId="2" borderId="10" xfId="2" applyNumberFormat="1" applyFont="1" applyFill="1" applyBorder="1" applyAlignment="1">
      <alignment horizontal="center"/>
    </xf>
    <xf numFmtId="3" fontId="6" fillId="0" borderId="0" xfId="2" applyNumberFormat="1" applyFont="1" applyAlignment="1"/>
    <xf numFmtId="3" fontId="2" fillId="0" borderId="0" xfId="2" applyNumberFormat="1" applyAlignment="1"/>
    <xf numFmtId="167" fontId="2" fillId="0" borderId="0" xfId="2" applyNumberFormat="1" applyFont="1" applyAlignment="1"/>
    <xf numFmtId="167" fontId="6" fillId="0" borderId="0" xfId="2" applyNumberFormat="1" applyFont="1" applyAlignment="1">
      <alignment horizontal="center"/>
    </xf>
    <xf numFmtId="167" fontId="6" fillId="2" borderId="2" xfId="2" applyNumberFormat="1" applyFont="1" applyFill="1" applyBorder="1" applyAlignment="1">
      <alignment horizontal="center"/>
    </xf>
    <xf numFmtId="167" fontId="6" fillId="2" borderId="17" xfId="2" applyNumberFormat="1" applyFont="1" applyFill="1" applyBorder="1" applyAlignment="1">
      <alignment horizontal="center"/>
    </xf>
    <xf numFmtId="167" fontId="7" fillId="0" borderId="6" xfId="2" applyNumberFormat="1" applyFont="1" applyBorder="1" applyAlignment="1">
      <alignment horizontal="center"/>
    </xf>
    <xf numFmtId="167" fontId="2" fillId="0" borderId="5" xfId="2" applyNumberFormat="1" applyFont="1" applyBorder="1" applyAlignment="1">
      <alignment horizontal="center"/>
    </xf>
    <xf numFmtId="167" fontId="2" fillId="0" borderId="2" xfId="2" applyNumberFormat="1" applyFont="1" applyBorder="1" applyAlignment="1">
      <alignment horizontal="center"/>
    </xf>
    <xf numFmtId="167" fontId="6" fillId="2" borderId="9" xfId="2" applyNumberFormat="1" applyFont="1" applyFill="1" applyBorder="1" applyAlignment="1">
      <alignment horizontal="center"/>
    </xf>
    <xf numFmtId="167" fontId="2" fillId="0" borderId="6" xfId="2" applyNumberFormat="1" applyFont="1" applyBorder="1" applyAlignment="1">
      <alignment horizontal="center"/>
    </xf>
    <xf numFmtId="167" fontId="2" fillId="0" borderId="3" xfId="2" applyNumberFormat="1" applyFont="1" applyBorder="1" applyAlignment="1">
      <alignment horizontal="center"/>
    </xf>
    <xf numFmtId="167" fontId="6" fillId="0" borderId="0" xfId="2" applyNumberFormat="1" applyFont="1" applyAlignment="1"/>
    <xf numFmtId="167" fontId="2" fillId="0" borderId="0" xfId="2" applyNumberFormat="1" applyAlignment="1"/>
    <xf numFmtId="3" fontId="2" fillId="0" borderId="0" xfId="1" applyNumberFormat="1" applyFont="1" applyAlignment="1"/>
    <xf numFmtId="3" fontId="6" fillId="2" borderId="2" xfId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3" fontId="6" fillId="2" borderId="8" xfId="1" applyNumberFormat="1" applyFont="1" applyFill="1" applyBorder="1" applyAlignment="1">
      <alignment horizontal="center"/>
    </xf>
    <xf numFmtId="3" fontId="2" fillId="0" borderId="5" xfId="1" applyNumberFormat="1" applyBorder="1"/>
    <xf numFmtId="3" fontId="6" fillId="2" borderId="10" xfId="1" applyNumberFormat="1" applyFont="1" applyFill="1" applyBorder="1" applyAlignment="1">
      <alignment horizontal="center"/>
    </xf>
    <xf numFmtId="3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2" fillId="0" borderId="0" xfId="1" applyNumberFormat="1" applyAlignment="1"/>
    <xf numFmtId="167" fontId="2" fillId="0" borderId="0" xfId="1" applyNumberFormat="1" applyFont="1" applyAlignment="1"/>
    <xf numFmtId="167" fontId="6" fillId="0" borderId="0" xfId="1" applyNumberFormat="1" applyFont="1" applyAlignment="1">
      <alignment horizontal="centerContinuous"/>
    </xf>
    <xf numFmtId="167" fontId="6" fillId="2" borderId="2" xfId="1" applyNumberFormat="1" applyFont="1" applyFill="1" applyBorder="1" applyAlignment="1">
      <alignment horizontal="center"/>
    </xf>
    <xf numFmtId="167" fontId="6" fillId="2" borderId="3" xfId="1" applyNumberFormat="1" applyFont="1" applyFill="1" applyBorder="1" applyAlignment="1">
      <alignment horizontal="center"/>
    </xf>
    <xf numFmtId="167" fontId="6" fillId="2" borderId="5" xfId="1" applyNumberFormat="1" applyFont="1" applyFill="1" applyBorder="1" applyAlignment="1">
      <alignment horizontal="center"/>
    </xf>
    <xf numFmtId="167" fontId="7" fillId="0" borderId="2" xfId="1" applyNumberFormat="1" applyFont="1" applyBorder="1" applyAlignment="1">
      <alignment horizontal="center"/>
    </xf>
    <xf numFmtId="167" fontId="7" fillId="0" borderId="3" xfId="1" applyNumberFormat="1" applyFont="1" applyBorder="1" applyAlignment="1">
      <alignment horizontal="center"/>
    </xf>
    <xf numFmtId="167" fontId="2" fillId="0" borderId="5" xfId="1" applyNumberFormat="1" applyFont="1" applyBorder="1" applyAlignment="1">
      <alignment horizontal="center"/>
    </xf>
    <xf numFmtId="167" fontId="2" fillId="0" borderId="6" xfId="1" applyNumberFormat="1" applyFont="1" applyBorder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167" fontId="2" fillId="0" borderId="3" xfId="1" applyNumberFormat="1" applyFont="1" applyBorder="1" applyAlignment="1">
      <alignment horizontal="center"/>
    </xf>
    <xf numFmtId="167" fontId="6" fillId="2" borderId="8" xfId="1" applyNumberFormat="1" applyFont="1" applyFill="1" applyBorder="1" applyAlignment="1">
      <alignment horizontal="center"/>
    </xf>
    <xf numFmtId="167" fontId="6" fillId="2" borderId="9" xfId="1" applyNumberFormat="1" applyFont="1" applyFill="1" applyBorder="1" applyAlignment="1">
      <alignment horizontal="center"/>
    </xf>
    <xf numFmtId="167" fontId="2" fillId="0" borderId="5" xfId="1" applyNumberFormat="1" applyBorder="1"/>
    <xf numFmtId="167" fontId="2" fillId="0" borderId="6" xfId="1" applyNumberFormat="1" applyBorder="1"/>
    <xf numFmtId="167" fontId="6" fillId="2" borderId="10" xfId="1" applyNumberFormat="1" applyFont="1" applyFill="1" applyBorder="1" applyAlignment="1">
      <alignment horizontal="center"/>
    </xf>
    <xf numFmtId="167" fontId="6" fillId="0" borderId="13" xfId="1" applyNumberFormat="1" applyFont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167" fontId="2" fillId="0" borderId="0" xfId="1" applyNumberFormat="1" applyAlignment="1"/>
    <xf numFmtId="167" fontId="6" fillId="2" borderId="3" xfId="1" applyNumberFormat="1" applyFont="1" applyFill="1" applyBorder="1" applyAlignment="1"/>
    <xf numFmtId="167" fontId="6" fillId="2" borderId="6" xfId="1" applyNumberFormat="1" applyFont="1" applyFill="1" applyBorder="1" applyAlignment="1"/>
    <xf numFmtId="166" fontId="6" fillId="0" borderId="18" xfId="2" applyNumberFormat="1" applyFont="1" applyBorder="1" applyAlignment="1"/>
    <xf numFmtId="166" fontId="6" fillId="0" borderId="0" xfId="1" applyNumberFormat="1" applyFont="1" applyBorder="1" applyAlignment="1"/>
    <xf numFmtId="167" fontId="6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6" fillId="2" borderId="11" xfId="2" applyNumberFormat="1" applyFont="1" applyFill="1" applyBorder="1" applyAlignment="1">
      <alignment horizontal="center"/>
    </xf>
    <xf numFmtId="3" fontId="6" fillId="2" borderId="19" xfId="2" applyNumberFormat="1" applyFont="1" applyFill="1" applyBorder="1" applyAlignment="1">
      <alignment horizontal="center"/>
    </xf>
    <xf numFmtId="166" fontId="10" fillId="0" borderId="0" xfId="2" applyNumberFormat="1" applyFont="1" applyAlignment="1"/>
    <xf numFmtId="166" fontId="10" fillId="0" borderId="0" xfId="0" applyNumberFormat="1" applyFont="1" applyAlignment="1"/>
    <xf numFmtId="166" fontId="6" fillId="2" borderId="7" xfId="2" applyNumberFormat="1" applyFont="1" applyFill="1" applyBorder="1" applyAlignment="1">
      <alignment horizontal="center"/>
    </xf>
    <xf numFmtId="0" fontId="6" fillId="2" borderId="8" xfId="2" applyNumberFormat="1" applyFont="1" applyFill="1" applyBorder="1" applyAlignment="1">
      <alignment horizontal="center"/>
    </xf>
    <xf numFmtId="167" fontId="6" fillId="2" borderId="20" xfId="2" applyNumberFormat="1" applyFont="1" applyFill="1" applyBorder="1" applyAlignment="1">
      <alignment horizontal="center"/>
    </xf>
    <xf numFmtId="9" fontId="6" fillId="3" borderId="10" xfId="2" applyNumberFormat="1" applyFont="1" applyFill="1" applyBorder="1" applyAlignment="1">
      <alignment horizontal="center"/>
    </xf>
    <xf numFmtId="9" fontId="6" fillId="3" borderId="21" xfId="2" applyNumberFormat="1" applyFont="1" applyFill="1" applyBorder="1" applyAlignment="1">
      <alignment horizontal="center"/>
    </xf>
    <xf numFmtId="167" fontId="6" fillId="2" borderId="20" xfId="1" applyNumberFormat="1" applyFont="1" applyFill="1" applyBorder="1" applyAlignment="1">
      <alignment horizontal="center"/>
    </xf>
    <xf numFmtId="3" fontId="6" fillId="2" borderId="11" xfId="1" applyNumberFormat="1" applyFont="1" applyFill="1" applyBorder="1" applyAlignment="1">
      <alignment horizontal="center"/>
    </xf>
    <xf numFmtId="9" fontId="6" fillId="3" borderId="10" xfId="1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/>
    <xf numFmtId="166" fontId="11" fillId="0" borderId="4" xfId="0" applyNumberFormat="1" applyFont="1" applyBorder="1" applyAlignment="1"/>
    <xf numFmtId="4" fontId="2" fillId="0" borderId="0" xfId="3" applyNumberFormat="1" applyFont="1" applyBorder="1" applyAlignment="1">
      <alignment horizontal="center"/>
    </xf>
    <xf numFmtId="0" fontId="12" fillId="3" borderId="4" xfId="3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  <xf numFmtId="0" fontId="13" fillId="0" borderId="0" xfId="0" applyNumberFormat="1" applyFont="1" applyAlignment="1"/>
    <xf numFmtId="0" fontId="14" fillId="0" borderId="0" xfId="0" applyNumberFormat="1" applyFont="1" applyAlignment="1"/>
    <xf numFmtId="9" fontId="11" fillId="3" borderId="2" xfId="0" applyNumberFormat="1" applyFont="1" applyFill="1" applyBorder="1" applyAlignment="1">
      <alignment horizontal="center"/>
    </xf>
    <xf numFmtId="9" fontId="11" fillId="3" borderId="8" xfId="0" applyNumberFormat="1" applyFont="1" applyFill="1" applyBorder="1" applyAlignment="1">
      <alignment horizontal="center"/>
    </xf>
    <xf numFmtId="9" fontId="11" fillId="3" borderId="10" xfId="0" applyNumberFormat="1" applyFont="1" applyFill="1" applyBorder="1" applyAlignment="1">
      <alignment horizontal="center"/>
    </xf>
    <xf numFmtId="0" fontId="15" fillId="0" borderId="0" xfId="3" applyFont="1" applyAlignment="1"/>
    <xf numFmtId="0" fontId="13" fillId="0" borderId="0" xfId="2" applyNumberFormat="1" applyFont="1" applyAlignment="1"/>
    <xf numFmtId="0" fontId="14" fillId="0" borderId="0" xfId="2" applyNumberFormat="1" applyFont="1" applyAlignment="1"/>
    <xf numFmtId="0" fontId="13" fillId="0" borderId="0" xfId="1" applyNumberFormat="1" applyFont="1" applyAlignment="1"/>
    <xf numFmtId="0" fontId="14" fillId="0" borderId="0" xfId="1" applyNumberFormat="1" applyFont="1" applyAlignment="1"/>
  </cellXfs>
  <cellStyles count="4">
    <cellStyle name="Normal" xfId="0" builtinId="0"/>
    <cellStyle name="Normal_SLOT STATS" xfId="1"/>
    <cellStyle name="Normal_TABLE STATS" xfId="2"/>
    <cellStyle name="Normal_YTD TAXE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440"/>
  <sheetViews>
    <sheetView tabSelected="1" showOutlineSymbols="0" zoomScaleNormal="100" workbookViewId="0">
      <selection activeCell="A3" sqref="A3"/>
    </sheetView>
  </sheetViews>
  <sheetFormatPr defaultColWidth="9.6640625" defaultRowHeight="15" x14ac:dyDescent="0.2"/>
  <cols>
    <col min="1" max="1" width="22.441406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/>
  </cols>
  <sheetData>
    <row r="1" spans="1:18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 x14ac:dyDescent="0.3">
      <c r="A2" s="4" t="s">
        <v>66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 x14ac:dyDescent="0.25">
      <c r="A3" s="280" t="s">
        <v>71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x14ac:dyDescent="0.2">
      <c r="A4" s="281" t="s">
        <v>72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 x14ac:dyDescent="0.25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 x14ac:dyDescent="0.25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 x14ac:dyDescent="0.3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 x14ac:dyDescent="0.25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 x14ac:dyDescent="0.25">
      <c r="A9" s="19" t="s">
        <v>13</v>
      </c>
      <c r="B9" s="20">
        <f>DATE(2014,7,1)</f>
        <v>41821</v>
      </c>
      <c r="C9" s="21">
        <v>267164</v>
      </c>
      <c r="D9" s="22">
        <v>319716</v>
      </c>
      <c r="E9" s="23">
        <f t="shared" ref="E9:E17" si="0">(+C9-D9)/D9</f>
        <v>-0.16437087915525028</v>
      </c>
      <c r="F9" s="21">
        <f>+C9-127421</f>
        <v>139743</v>
      </c>
      <c r="G9" s="21">
        <f>+D9-157523</f>
        <v>162193</v>
      </c>
      <c r="H9" s="23">
        <f t="shared" ref="H9:H17" si="1">(+F9-G9)/G9</f>
        <v>-0.13841534468195299</v>
      </c>
      <c r="I9" s="24">
        <f t="shared" ref="I9:I17" si="2">K9/C9</f>
        <v>41.706116130915845</v>
      </c>
      <c r="J9" s="24">
        <f t="shared" ref="J9:J17" si="3">K9/F9</f>
        <v>79.734747429209335</v>
      </c>
      <c r="K9" s="21">
        <v>11142372.810000001</v>
      </c>
      <c r="L9" s="21">
        <v>12552374.439999999</v>
      </c>
      <c r="M9" s="25">
        <f t="shared" ref="M9:M17" si="4">(+K9-L9)/L9</f>
        <v>-0.11232947493239367</v>
      </c>
      <c r="N9" s="10"/>
      <c r="R9" s="2"/>
    </row>
    <row r="10" spans="1:18" ht="15.75" x14ac:dyDescent="0.25">
      <c r="A10" s="19"/>
      <c r="B10" s="20">
        <f>DATE(2014,8,1)</f>
        <v>41852</v>
      </c>
      <c r="C10" s="21">
        <v>277665</v>
      </c>
      <c r="D10" s="22">
        <v>316432</v>
      </c>
      <c r="E10" s="23">
        <f t="shared" si="0"/>
        <v>-0.12251289376548516</v>
      </c>
      <c r="F10" s="21">
        <f>+C10-135151</f>
        <v>142514</v>
      </c>
      <c r="G10" s="21">
        <f>+D10-153574</f>
        <v>162858</v>
      </c>
      <c r="H10" s="23">
        <f t="shared" si="1"/>
        <v>-0.12491864077908361</v>
      </c>
      <c r="I10" s="24">
        <f t="shared" si="2"/>
        <v>43.812013109322379</v>
      </c>
      <c r="J10" s="24">
        <f t="shared" si="3"/>
        <v>85.360474199026058</v>
      </c>
      <c r="K10" s="21">
        <v>12165062.619999999</v>
      </c>
      <c r="L10" s="21">
        <v>12621243.43</v>
      </c>
      <c r="M10" s="25">
        <f t="shared" si="4"/>
        <v>-3.6143888082824226E-2</v>
      </c>
      <c r="N10" s="10"/>
      <c r="R10" s="2"/>
    </row>
    <row r="11" spans="1:18" ht="15.75" x14ac:dyDescent="0.25">
      <c r="A11" s="19"/>
      <c r="B11" s="20">
        <f>DATE(2014,9,1)</f>
        <v>41883</v>
      </c>
      <c r="C11" s="21">
        <v>248158</v>
      </c>
      <c r="D11" s="22">
        <v>282340</v>
      </c>
      <c r="E11" s="23">
        <f t="shared" si="0"/>
        <v>-0.12106679889494935</v>
      </c>
      <c r="F11" s="21">
        <f>+C11-120172</f>
        <v>127986</v>
      </c>
      <c r="G11" s="21">
        <f>+D11-139729</f>
        <v>142611</v>
      </c>
      <c r="H11" s="23">
        <f t="shared" si="1"/>
        <v>-0.10255169657319561</v>
      </c>
      <c r="I11" s="24">
        <f t="shared" si="2"/>
        <v>42.827240306578879</v>
      </c>
      <c r="J11" s="24">
        <f t="shared" si="3"/>
        <v>83.03972543871987</v>
      </c>
      <c r="K11" s="21">
        <v>10627922.300000001</v>
      </c>
      <c r="L11" s="21">
        <v>11333373.289999999</v>
      </c>
      <c r="M11" s="25">
        <f t="shared" si="4"/>
        <v>-6.2245456136387302E-2</v>
      </c>
      <c r="N11" s="10"/>
      <c r="R11" s="2"/>
    </row>
    <row r="12" spans="1:18" ht="15.75" x14ac:dyDescent="0.25">
      <c r="A12" s="19"/>
      <c r="B12" s="20">
        <f>DATE(2014,10,1)</f>
        <v>41913</v>
      </c>
      <c r="C12" s="21">
        <v>266065</v>
      </c>
      <c r="D12" s="22">
        <v>268334</v>
      </c>
      <c r="E12" s="23">
        <f t="shared" si="0"/>
        <v>-8.4558796127214599E-3</v>
      </c>
      <c r="F12" s="21">
        <f>+C12-128901</f>
        <v>137164</v>
      </c>
      <c r="G12" s="21">
        <f>D12-130186</f>
        <v>138148</v>
      </c>
      <c r="H12" s="23">
        <f t="shared" si="1"/>
        <v>-7.1227958421403136E-3</v>
      </c>
      <c r="I12" s="24">
        <f t="shared" si="2"/>
        <v>43.084435495085785</v>
      </c>
      <c r="J12" s="24">
        <f t="shared" si="3"/>
        <v>83.573389008777809</v>
      </c>
      <c r="K12" s="21">
        <v>11463260.33</v>
      </c>
      <c r="L12" s="21">
        <v>11127847.369999999</v>
      </c>
      <c r="M12" s="25">
        <f t="shared" si="4"/>
        <v>3.0141764965635122E-2</v>
      </c>
      <c r="N12" s="10"/>
      <c r="R12" s="2"/>
    </row>
    <row r="13" spans="1:18" ht="15.75" x14ac:dyDescent="0.25">
      <c r="A13" s="19"/>
      <c r="B13" s="20">
        <f>DATE(2014,11,1)</f>
        <v>41944</v>
      </c>
      <c r="C13" s="21">
        <v>269524</v>
      </c>
      <c r="D13" s="22">
        <v>267883</v>
      </c>
      <c r="E13" s="23">
        <f t="shared" si="0"/>
        <v>6.1258086552711446E-3</v>
      </c>
      <c r="F13" s="21">
        <f>C13-132202</f>
        <v>137322</v>
      </c>
      <c r="G13" s="21">
        <f>D13-131464</f>
        <v>136419</v>
      </c>
      <c r="H13" s="23">
        <f t="shared" si="1"/>
        <v>6.6193125591010047E-3</v>
      </c>
      <c r="I13" s="24">
        <f t="shared" si="2"/>
        <v>42.689039306332646</v>
      </c>
      <c r="J13" s="24">
        <f t="shared" si="3"/>
        <v>83.786433564905849</v>
      </c>
      <c r="K13" s="21">
        <v>11505720.630000001</v>
      </c>
      <c r="L13" s="21">
        <v>11700907.26</v>
      </c>
      <c r="M13" s="25">
        <f t="shared" si="4"/>
        <v>-1.6681324418940737E-2</v>
      </c>
      <c r="N13" s="10"/>
      <c r="R13" s="2"/>
    </row>
    <row r="14" spans="1:18" ht="15.75" x14ac:dyDescent="0.25">
      <c r="A14" s="19"/>
      <c r="B14" s="20">
        <f>DATE(2014,12,1)</f>
        <v>41974</v>
      </c>
      <c r="C14" s="21">
        <v>280201</v>
      </c>
      <c r="D14" s="22">
        <v>255863</v>
      </c>
      <c r="E14" s="23">
        <f t="shared" si="0"/>
        <v>9.5121217213899628E-2</v>
      </c>
      <c r="F14" s="21">
        <f>+C14-136103</f>
        <v>144098</v>
      </c>
      <c r="G14" s="21">
        <f>+D14-125410</f>
        <v>130453</v>
      </c>
      <c r="H14" s="23">
        <f t="shared" si="1"/>
        <v>0.10459705794424046</v>
      </c>
      <c r="I14" s="24">
        <f t="shared" si="2"/>
        <v>42.184544808905038</v>
      </c>
      <c r="J14" s="24">
        <f t="shared" si="3"/>
        <v>82.028561395716807</v>
      </c>
      <c r="K14" s="21">
        <v>11820151.640000001</v>
      </c>
      <c r="L14" s="21">
        <v>11102489.220000001</v>
      </c>
      <c r="M14" s="25">
        <f t="shared" si="4"/>
        <v>6.4639776340174634E-2</v>
      </c>
      <c r="N14" s="10"/>
      <c r="R14" s="2"/>
    </row>
    <row r="15" spans="1:18" ht="15.75" x14ac:dyDescent="0.25">
      <c r="A15" s="19"/>
      <c r="B15" s="20">
        <f>DATE(2015,1,1)</f>
        <v>42005</v>
      </c>
      <c r="C15" s="21">
        <v>279762</v>
      </c>
      <c r="D15" s="22">
        <v>265052</v>
      </c>
      <c r="E15" s="23">
        <f t="shared" si="0"/>
        <v>5.5498543681994479E-2</v>
      </c>
      <c r="F15" s="21">
        <f>+C15-136377</f>
        <v>143385</v>
      </c>
      <c r="G15" s="21">
        <f>+D15-130987</f>
        <v>134065</v>
      </c>
      <c r="H15" s="23">
        <f t="shared" si="1"/>
        <v>6.9518517137209565E-2</v>
      </c>
      <c r="I15" s="24">
        <f t="shared" si="2"/>
        <v>42.264062774787142</v>
      </c>
      <c r="J15" s="24">
        <f t="shared" si="3"/>
        <v>82.462452348572029</v>
      </c>
      <c r="K15" s="21">
        <v>11823878.73</v>
      </c>
      <c r="L15" s="21">
        <v>11306237.27</v>
      </c>
      <c r="M15" s="25">
        <f t="shared" si="4"/>
        <v>4.5783707491573004E-2</v>
      </c>
      <c r="N15" s="10"/>
      <c r="R15" s="2"/>
    </row>
    <row r="16" spans="1:18" ht="15.75" x14ac:dyDescent="0.25">
      <c r="A16" s="19"/>
      <c r="B16" s="20">
        <f>DATE(2015,2,1)</f>
        <v>42036</v>
      </c>
      <c r="C16" s="21">
        <v>267152</v>
      </c>
      <c r="D16" s="22">
        <v>277541</v>
      </c>
      <c r="E16" s="23">
        <f t="shared" si="0"/>
        <v>-3.7432307298741446E-2</v>
      </c>
      <c r="F16" s="21">
        <f>+C16-130903</f>
        <v>136249</v>
      </c>
      <c r="G16" s="21">
        <f>+D16-137668</f>
        <v>139873</v>
      </c>
      <c r="H16" s="23">
        <f t="shared" si="1"/>
        <v>-2.5909217647437317E-2</v>
      </c>
      <c r="I16" s="24">
        <f t="shared" si="2"/>
        <v>42.658524585254838</v>
      </c>
      <c r="J16" s="24">
        <f t="shared" si="3"/>
        <v>83.64325727161301</v>
      </c>
      <c r="K16" s="21">
        <v>11396310.16</v>
      </c>
      <c r="L16" s="21">
        <v>11907316.199999999</v>
      </c>
      <c r="M16" s="25">
        <f t="shared" si="4"/>
        <v>-4.291529941902434E-2</v>
      </c>
      <c r="N16" s="10"/>
      <c r="R16" s="2"/>
    </row>
    <row r="17" spans="1:18" ht="15.75" x14ac:dyDescent="0.25">
      <c r="A17" s="19"/>
      <c r="B17" s="20">
        <f>DATE(2015,3,1)</f>
        <v>42064</v>
      </c>
      <c r="C17" s="21">
        <v>293318</v>
      </c>
      <c r="D17" s="22">
        <v>300087</v>
      </c>
      <c r="E17" s="23">
        <f t="shared" si="0"/>
        <v>-2.2556791863692863E-2</v>
      </c>
      <c r="F17" s="21">
        <f>+C17-142282</f>
        <v>151036</v>
      </c>
      <c r="G17" s="21">
        <f>+D17-149325</f>
        <v>150762</v>
      </c>
      <c r="H17" s="23">
        <f t="shared" si="1"/>
        <v>1.8174341014313951E-3</v>
      </c>
      <c r="I17" s="24">
        <f t="shared" si="2"/>
        <v>44.24931889621503</v>
      </c>
      <c r="J17" s="24">
        <f t="shared" si="3"/>
        <v>85.933960909981735</v>
      </c>
      <c r="K17" s="21">
        <v>12979121.720000001</v>
      </c>
      <c r="L17" s="21">
        <v>13109731.560000001</v>
      </c>
      <c r="M17" s="25">
        <f t="shared" si="4"/>
        <v>-9.9628157450998064E-3</v>
      </c>
      <c r="N17" s="10"/>
      <c r="R17" s="2"/>
    </row>
    <row r="18" spans="1:18" ht="15.75" customHeight="1" thickBot="1" x14ac:dyDescent="0.3">
      <c r="A18" s="19"/>
      <c r="B18" s="20"/>
      <c r="C18" s="21"/>
      <c r="D18" s="21"/>
      <c r="E18" s="23"/>
      <c r="F18" s="21"/>
      <c r="G18" s="21"/>
      <c r="H18" s="23"/>
      <c r="I18" s="24"/>
      <c r="J18" s="24"/>
      <c r="K18" s="21"/>
      <c r="L18" s="21"/>
      <c r="M18" s="25"/>
      <c r="N18" s="10"/>
      <c r="R18" s="2"/>
    </row>
    <row r="19" spans="1:18" ht="17.25" thickTop="1" thickBot="1" x14ac:dyDescent="0.3">
      <c r="A19" s="26" t="s">
        <v>14</v>
      </c>
      <c r="B19" s="27"/>
      <c r="C19" s="28">
        <f>SUM(C9:C18)</f>
        <v>2449009</v>
      </c>
      <c r="D19" s="28">
        <f>SUM(D9:D18)</f>
        <v>2553248</v>
      </c>
      <c r="E19" s="282">
        <f>(+C19-D19)/D19</f>
        <v>-4.0826038050357817E-2</v>
      </c>
      <c r="F19" s="28">
        <f>SUM(F9:F18)</f>
        <v>1259497</v>
      </c>
      <c r="G19" s="28">
        <f>SUM(G9:G18)</f>
        <v>1297382</v>
      </c>
      <c r="H19" s="30">
        <f>(+F19-G19)/G19</f>
        <v>-2.9201114243915825E-2</v>
      </c>
      <c r="I19" s="31">
        <f>K19/C19</f>
        <v>42.843370906354373</v>
      </c>
      <c r="J19" s="31">
        <f>K19/F19</f>
        <v>83.306114218612677</v>
      </c>
      <c r="K19" s="28">
        <f>SUM(K9:K18)</f>
        <v>104923800.94000001</v>
      </c>
      <c r="L19" s="28">
        <f>SUM(L9:L18)</f>
        <v>106761520.03999999</v>
      </c>
      <c r="M19" s="32">
        <f>(+K19-L19)/L19</f>
        <v>-1.7213309620464818E-2</v>
      </c>
      <c r="N19" s="10"/>
      <c r="R19" s="2"/>
    </row>
    <row r="20" spans="1:18" ht="15.75" customHeight="1" thickTop="1" x14ac:dyDescent="0.25">
      <c r="A20" s="15"/>
      <c r="B20" s="16"/>
      <c r="C20" s="16"/>
      <c r="D20" s="16"/>
      <c r="E20" s="17"/>
      <c r="F20" s="16"/>
      <c r="G20" s="16"/>
      <c r="H20" s="17"/>
      <c r="I20" s="16"/>
      <c r="J20" s="16"/>
      <c r="K20" s="195"/>
      <c r="L20" s="195"/>
      <c r="M20" s="18"/>
      <c r="N20" s="10"/>
      <c r="R20" s="2"/>
    </row>
    <row r="21" spans="1:18" ht="15.75" x14ac:dyDescent="0.25">
      <c r="A21" s="19" t="s">
        <v>15</v>
      </c>
      <c r="B21" s="20">
        <f>DATE(2014,7,1)</f>
        <v>41821</v>
      </c>
      <c r="C21" s="21">
        <v>174037</v>
      </c>
      <c r="D21" s="21">
        <v>167462</v>
      </c>
      <c r="E21" s="23">
        <f t="shared" ref="E21:E29" si="5">(+C21-D21)/D21</f>
        <v>3.9262638688180002E-2</v>
      </c>
      <c r="F21" s="21">
        <f>+C21-81593</f>
        <v>92444</v>
      </c>
      <c r="G21" s="21">
        <f>+D21-80491</f>
        <v>86971</v>
      </c>
      <c r="H21" s="23">
        <f t="shared" ref="H21:H29" si="6">(+F21-G21)/G21</f>
        <v>6.2929022317784092E-2</v>
      </c>
      <c r="I21" s="24">
        <f t="shared" ref="I21:I29" si="7">K21/C21</f>
        <v>39.824183133471621</v>
      </c>
      <c r="J21" s="24">
        <f t="shared" ref="J21:J29" si="8">K21/F21</f>
        <v>74.973836701137984</v>
      </c>
      <c r="K21" s="21">
        <v>6930881.3600000003</v>
      </c>
      <c r="L21" s="21">
        <v>6463510.29</v>
      </c>
      <c r="M21" s="25">
        <f t="shared" ref="M21:M29" si="9">(+K21-L21)/L21</f>
        <v>7.230917087315418E-2</v>
      </c>
      <c r="N21" s="10"/>
      <c r="R21" s="2"/>
    </row>
    <row r="22" spans="1:18" ht="15.75" x14ac:dyDescent="0.25">
      <c r="A22" s="19"/>
      <c r="B22" s="20">
        <f>DATE(2014,8,1)</f>
        <v>41852</v>
      </c>
      <c r="C22" s="21">
        <v>180474</v>
      </c>
      <c r="D22" s="21">
        <v>180814</v>
      </c>
      <c r="E22" s="23">
        <f t="shared" si="5"/>
        <v>-1.8803853683896159E-3</v>
      </c>
      <c r="F22" s="21">
        <f>+C22-84762</f>
        <v>95712</v>
      </c>
      <c r="G22" s="21">
        <f>+D22-88497</f>
        <v>92317</v>
      </c>
      <c r="H22" s="23">
        <f t="shared" si="6"/>
        <v>3.6775458474603812E-2</v>
      </c>
      <c r="I22" s="24">
        <f t="shared" si="7"/>
        <v>39.69763716657247</v>
      </c>
      <c r="J22" s="24">
        <f t="shared" si="8"/>
        <v>74.853637683884983</v>
      </c>
      <c r="K22" s="21">
        <v>7164391.3700000001</v>
      </c>
      <c r="L22" s="21">
        <v>7197790.5800000001</v>
      </c>
      <c r="M22" s="25">
        <f t="shared" si="9"/>
        <v>-4.6402030774282356E-3</v>
      </c>
      <c r="N22" s="10"/>
      <c r="R22" s="2"/>
    </row>
    <row r="23" spans="1:18" ht="15.75" x14ac:dyDescent="0.25">
      <c r="A23" s="19"/>
      <c r="B23" s="20">
        <f>DATE(2014,9,1)</f>
        <v>41883</v>
      </c>
      <c r="C23" s="21">
        <v>159026</v>
      </c>
      <c r="D23" s="21">
        <v>166343</v>
      </c>
      <c r="E23" s="23">
        <f t="shared" si="5"/>
        <v>-4.3987423576585728E-2</v>
      </c>
      <c r="F23" s="21">
        <f>+C23-73696</f>
        <v>85330</v>
      </c>
      <c r="G23" s="21">
        <f>+D23-79764</f>
        <v>86579</v>
      </c>
      <c r="H23" s="23">
        <f t="shared" si="6"/>
        <v>-1.4426131047944652E-2</v>
      </c>
      <c r="I23" s="24">
        <f t="shared" si="7"/>
        <v>41.429399846565971</v>
      </c>
      <c r="J23" s="24">
        <f t="shared" si="8"/>
        <v>77.210262979022616</v>
      </c>
      <c r="K23" s="21">
        <v>6588351.7400000002</v>
      </c>
      <c r="L23" s="21">
        <v>6703192.7400000002</v>
      </c>
      <c r="M23" s="25">
        <f t="shared" si="9"/>
        <v>-1.7132283742150013E-2</v>
      </c>
      <c r="N23" s="10"/>
      <c r="R23" s="2"/>
    </row>
    <row r="24" spans="1:18" ht="15.75" x14ac:dyDescent="0.25">
      <c r="A24" s="19"/>
      <c r="B24" s="20">
        <f>DATE(2014,10,1)</f>
        <v>41913</v>
      </c>
      <c r="C24" s="21">
        <v>161024</v>
      </c>
      <c r="D24" s="21">
        <v>153875</v>
      </c>
      <c r="E24" s="23">
        <f t="shared" si="5"/>
        <v>4.6459788789601948E-2</v>
      </c>
      <c r="F24" s="21">
        <f>C24-74934</f>
        <v>86090</v>
      </c>
      <c r="G24" s="21">
        <f>D24-73934</f>
        <v>79941</v>
      </c>
      <c r="H24" s="23">
        <f t="shared" si="6"/>
        <v>7.6919227930598813E-2</v>
      </c>
      <c r="I24" s="24">
        <f t="shared" si="7"/>
        <v>40.307023921899841</v>
      </c>
      <c r="J24" s="24">
        <f t="shared" si="8"/>
        <v>75.390849343710073</v>
      </c>
      <c r="K24" s="21">
        <v>6490398.2199999997</v>
      </c>
      <c r="L24" s="21">
        <v>6163453.1600000001</v>
      </c>
      <c r="M24" s="25">
        <f t="shared" si="9"/>
        <v>5.3045760471066773E-2</v>
      </c>
      <c r="N24" s="10"/>
      <c r="R24" s="2"/>
    </row>
    <row r="25" spans="1:18" ht="15.75" x14ac:dyDescent="0.25">
      <c r="A25" s="19"/>
      <c r="B25" s="20">
        <f>DATE(2014,11,1)</f>
        <v>41944</v>
      </c>
      <c r="C25" s="21">
        <v>153994</v>
      </c>
      <c r="D25" s="22">
        <v>157990</v>
      </c>
      <c r="E25" s="23">
        <f t="shared" si="5"/>
        <v>-2.5292740046838409E-2</v>
      </c>
      <c r="F25" s="21">
        <f>C25-72262</f>
        <v>81732</v>
      </c>
      <c r="G25" s="21">
        <f>D25-76341</f>
        <v>81649</v>
      </c>
      <c r="H25" s="23">
        <f t="shared" si="6"/>
        <v>1.0165464365760755E-3</v>
      </c>
      <c r="I25" s="24">
        <f t="shared" si="7"/>
        <v>40.483281491486686</v>
      </c>
      <c r="J25" s="24">
        <f t="shared" si="8"/>
        <v>76.275907233396964</v>
      </c>
      <c r="K25" s="21">
        <v>6234182.4500000002</v>
      </c>
      <c r="L25" s="21">
        <v>6667296.1200000001</v>
      </c>
      <c r="M25" s="25">
        <f t="shared" si="9"/>
        <v>-6.4960917020136774E-2</v>
      </c>
      <c r="N25" s="10"/>
      <c r="R25" s="2"/>
    </row>
    <row r="26" spans="1:18" ht="15.75" x14ac:dyDescent="0.25">
      <c r="A26" s="19"/>
      <c r="B26" s="20">
        <f>DATE(2014,12,1)</f>
        <v>41974</v>
      </c>
      <c r="C26" s="21">
        <v>151845</v>
      </c>
      <c r="D26" s="22">
        <v>142412</v>
      </c>
      <c r="E26" s="23">
        <f t="shared" si="5"/>
        <v>6.6237395725079348E-2</v>
      </c>
      <c r="F26" s="21">
        <f>+C26-71267</f>
        <v>80578</v>
      </c>
      <c r="G26" s="21">
        <f>+D26-70586</f>
        <v>71826</v>
      </c>
      <c r="H26" s="23">
        <f t="shared" si="6"/>
        <v>0.12185002645281653</v>
      </c>
      <c r="I26" s="24">
        <f t="shared" si="7"/>
        <v>42.068228851789655</v>
      </c>
      <c r="J26" s="24">
        <f t="shared" si="8"/>
        <v>79.275363126411676</v>
      </c>
      <c r="K26" s="21">
        <v>6387850.21</v>
      </c>
      <c r="L26" s="21">
        <v>5984263.6699999999</v>
      </c>
      <c r="M26" s="25">
        <f t="shared" si="9"/>
        <v>6.7441303100202479E-2</v>
      </c>
      <c r="N26" s="10"/>
      <c r="R26" s="2"/>
    </row>
    <row r="27" spans="1:18" ht="15.75" x14ac:dyDescent="0.25">
      <c r="A27" s="19"/>
      <c r="B27" s="20">
        <f>DATE(2015,1,1)</f>
        <v>42005</v>
      </c>
      <c r="C27" s="21">
        <v>165440</v>
      </c>
      <c r="D27" s="22">
        <v>139969</v>
      </c>
      <c r="E27" s="23">
        <f t="shared" si="5"/>
        <v>0.18197600897341554</v>
      </c>
      <c r="F27" s="21">
        <f>+C27-80337</f>
        <v>85103</v>
      </c>
      <c r="G27" s="21">
        <f>+D27-68762</f>
        <v>71207</v>
      </c>
      <c r="H27" s="23">
        <f t="shared" si="6"/>
        <v>0.19514935329391772</v>
      </c>
      <c r="I27" s="24">
        <f t="shared" si="7"/>
        <v>42.178694451160538</v>
      </c>
      <c r="J27" s="24">
        <f t="shared" si="8"/>
        <v>81.995267029364413</v>
      </c>
      <c r="K27" s="21">
        <v>6978043.21</v>
      </c>
      <c r="L27" s="21">
        <v>6011974.8700000001</v>
      </c>
      <c r="M27" s="25">
        <f t="shared" si="9"/>
        <v>0.16069068166281272</v>
      </c>
      <c r="N27" s="10"/>
      <c r="R27" s="2"/>
    </row>
    <row r="28" spans="1:18" ht="15.75" x14ac:dyDescent="0.25">
      <c r="A28" s="19"/>
      <c r="B28" s="20">
        <f>DATE(2015,2,1)</f>
        <v>42036</v>
      </c>
      <c r="C28" s="21">
        <v>149542</v>
      </c>
      <c r="D28" s="22">
        <v>152332</v>
      </c>
      <c r="E28" s="23">
        <f t="shared" si="5"/>
        <v>-1.8315258776882073E-2</v>
      </c>
      <c r="F28" s="21">
        <f>+C28-71313</f>
        <v>78229</v>
      </c>
      <c r="G28" s="21">
        <f>+D28-74516</f>
        <v>77816</v>
      </c>
      <c r="H28" s="23">
        <f t="shared" si="6"/>
        <v>5.307391796031664E-3</v>
      </c>
      <c r="I28" s="24">
        <f t="shared" si="7"/>
        <v>43.131711626165227</v>
      </c>
      <c r="J28" s="24">
        <f t="shared" si="8"/>
        <v>82.450273172352965</v>
      </c>
      <c r="K28" s="21">
        <v>6450002.4199999999</v>
      </c>
      <c r="L28" s="21">
        <v>6553475.2300000004</v>
      </c>
      <c r="M28" s="25">
        <f t="shared" si="9"/>
        <v>-1.5788998412068541E-2</v>
      </c>
      <c r="N28" s="10"/>
      <c r="R28" s="2"/>
    </row>
    <row r="29" spans="1:18" ht="15.75" x14ac:dyDescent="0.25">
      <c r="A29" s="19"/>
      <c r="B29" s="20">
        <f>DATE(2015,3,1)</f>
        <v>42064</v>
      </c>
      <c r="C29" s="21">
        <v>167007</v>
      </c>
      <c r="D29" s="22">
        <v>169699</v>
      </c>
      <c r="E29" s="23">
        <f t="shared" si="5"/>
        <v>-1.5863381634541159E-2</v>
      </c>
      <c r="F29" s="21">
        <f>+C29-79791</f>
        <v>87216</v>
      </c>
      <c r="G29" s="21">
        <f>+D29-82766</f>
        <v>86933</v>
      </c>
      <c r="H29" s="23">
        <f t="shared" si="6"/>
        <v>3.2553805804470108E-3</v>
      </c>
      <c r="I29" s="24">
        <f t="shared" si="7"/>
        <v>44.19175573478956</v>
      </c>
      <c r="J29" s="24">
        <f t="shared" si="8"/>
        <v>84.621314323059991</v>
      </c>
      <c r="K29" s="21">
        <v>7380332.5499999998</v>
      </c>
      <c r="L29" s="21">
        <v>6659502.71</v>
      </c>
      <c r="M29" s="25">
        <f t="shared" si="9"/>
        <v>0.10824079085028256</v>
      </c>
      <c r="N29" s="10"/>
      <c r="R29" s="2"/>
    </row>
    <row r="30" spans="1:18" ht="15.75" customHeight="1" thickBot="1" x14ac:dyDescent="0.3">
      <c r="A30" s="19"/>
      <c r="B30" s="20"/>
      <c r="C30" s="21"/>
      <c r="D30" s="21"/>
      <c r="E30" s="23"/>
      <c r="F30" s="21"/>
      <c r="G30" s="21"/>
      <c r="H30" s="23"/>
      <c r="I30" s="24"/>
      <c r="J30" s="24"/>
      <c r="K30" s="21"/>
      <c r="L30" s="21"/>
      <c r="M30" s="25"/>
      <c r="N30" s="10"/>
      <c r="R30" s="2"/>
    </row>
    <row r="31" spans="1:18" ht="17.25" customHeight="1" thickTop="1" thickBot="1" x14ac:dyDescent="0.3">
      <c r="A31" s="26" t="s">
        <v>14</v>
      </c>
      <c r="B31" s="27"/>
      <c r="C31" s="28">
        <f>SUM(C21:C30)</f>
        <v>1462389</v>
      </c>
      <c r="D31" s="28">
        <f>SUM(D21:D30)</f>
        <v>1430896</v>
      </c>
      <c r="E31" s="282">
        <f>(+C31-D31)/D31</f>
        <v>2.2009286489025059E-2</v>
      </c>
      <c r="F31" s="28">
        <f>SUM(F21:F30)</f>
        <v>772434</v>
      </c>
      <c r="G31" s="28">
        <f>SUM(G21:G30)</f>
        <v>735239</v>
      </c>
      <c r="H31" s="30">
        <f>(+F31-G31)/G31</f>
        <v>5.0588992150851629E-2</v>
      </c>
      <c r="I31" s="31">
        <f>K31/C31</f>
        <v>41.442074256576049</v>
      </c>
      <c r="J31" s="31">
        <f>K31/F31</f>
        <v>78.459044436158933</v>
      </c>
      <c r="K31" s="28">
        <f>SUM(K21:K30)</f>
        <v>60604433.529999994</v>
      </c>
      <c r="L31" s="28">
        <f>SUM(L21:L30)</f>
        <v>58404459.369999997</v>
      </c>
      <c r="M31" s="32">
        <f>(+K31-L31)/L31</f>
        <v>3.7667914123866268E-2</v>
      </c>
      <c r="N31" s="10"/>
      <c r="R31" s="2"/>
    </row>
    <row r="32" spans="1:18" ht="15.75" customHeight="1" thickTop="1" x14ac:dyDescent="0.25">
      <c r="A32" s="33"/>
      <c r="B32" s="34"/>
      <c r="C32" s="35"/>
      <c r="D32" s="35"/>
      <c r="E32" s="29"/>
      <c r="F32" s="35"/>
      <c r="G32" s="35"/>
      <c r="H32" s="29"/>
      <c r="I32" s="36"/>
      <c r="J32" s="36"/>
      <c r="K32" s="35"/>
      <c r="L32" s="35"/>
      <c r="M32" s="37"/>
      <c r="N32" s="10"/>
      <c r="R32" s="2"/>
    </row>
    <row r="33" spans="1:18" ht="15.75" customHeight="1" x14ac:dyDescent="0.25">
      <c r="A33" s="19" t="s">
        <v>56</v>
      </c>
      <c r="B33" s="20">
        <f>DATE(2014,7,1)</f>
        <v>41821</v>
      </c>
      <c r="C33" s="21">
        <v>72401</v>
      </c>
      <c r="D33" s="21">
        <v>75211</v>
      </c>
      <c r="E33" s="23">
        <f t="shared" ref="E33:E41" si="10">(+C33-D33)/D33</f>
        <v>-3.7361556155349619E-2</v>
      </c>
      <c r="F33" s="21">
        <f>+C33-40333</f>
        <v>32068</v>
      </c>
      <c r="G33" s="21">
        <f>+D33-41471</f>
        <v>33740</v>
      </c>
      <c r="H33" s="23">
        <f t="shared" ref="H33:H41" si="11">(+F33-G33)/G33</f>
        <v>-4.9555423829282748E-2</v>
      </c>
      <c r="I33" s="24">
        <f t="shared" ref="I33:I41" si="12">K33/C33</f>
        <v>38.171244872308392</v>
      </c>
      <c r="J33" s="24">
        <f t="shared" ref="J33:J41" si="13">K33/F33</f>
        <v>86.18050081077709</v>
      </c>
      <c r="K33" s="21">
        <v>2763636.3</v>
      </c>
      <c r="L33" s="21">
        <v>2798471.18</v>
      </c>
      <c r="M33" s="25">
        <f t="shared" ref="M33:M41" si="14">(+K33-L33)/L33</f>
        <v>-1.244782517288613E-2</v>
      </c>
      <c r="N33" s="10"/>
      <c r="R33" s="2"/>
    </row>
    <row r="34" spans="1:18" ht="15.75" customHeight="1" x14ac:dyDescent="0.25">
      <c r="A34" s="19"/>
      <c r="B34" s="20">
        <f>DATE(2014,8,1)</f>
        <v>41852</v>
      </c>
      <c r="C34" s="21">
        <v>78277</v>
      </c>
      <c r="D34" s="21">
        <v>74130</v>
      </c>
      <c r="E34" s="23">
        <f t="shared" si="10"/>
        <v>5.5942263590988806E-2</v>
      </c>
      <c r="F34" s="21">
        <f>+C34-44305</f>
        <v>33972</v>
      </c>
      <c r="G34" s="21">
        <f>+D34-40749</f>
        <v>33381</v>
      </c>
      <c r="H34" s="23">
        <f t="shared" si="11"/>
        <v>1.7704682304304845E-2</v>
      </c>
      <c r="I34" s="24">
        <f t="shared" si="12"/>
        <v>38.30464849189417</v>
      </c>
      <c r="J34" s="24">
        <f t="shared" si="13"/>
        <v>88.260125103026027</v>
      </c>
      <c r="K34" s="21">
        <v>2998372.97</v>
      </c>
      <c r="L34" s="21">
        <v>2757505.22</v>
      </c>
      <c r="M34" s="25">
        <f t="shared" si="14"/>
        <v>8.7349879975929828E-2</v>
      </c>
      <c r="N34" s="10"/>
      <c r="R34" s="2"/>
    </row>
    <row r="35" spans="1:18" ht="15.75" customHeight="1" x14ac:dyDescent="0.25">
      <c r="A35" s="19"/>
      <c r="B35" s="20">
        <f>DATE(2014,9,1)</f>
        <v>41883</v>
      </c>
      <c r="C35" s="21">
        <v>63778</v>
      </c>
      <c r="D35" s="21">
        <v>66326</v>
      </c>
      <c r="E35" s="23">
        <f t="shared" si="10"/>
        <v>-3.8416307330458643E-2</v>
      </c>
      <c r="F35" s="21">
        <f>+C35-35884</f>
        <v>27894</v>
      </c>
      <c r="G35" s="21">
        <f>+D35-36268</f>
        <v>30058</v>
      </c>
      <c r="H35" s="23">
        <f t="shared" si="11"/>
        <v>-7.1994144653669573E-2</v>
      </c>
      <c r="I35" s="24">
        <f t="shared" si="12"/>
        <v>40.709496691649157</v>
      </c>
      <c r="J35" s="24">
        <f t="shared" si="13"/>
        <v>93.079883845988377</v>
      </c>
      <c r="K35" s="21">
        <v>2596370.2799999998</v>
      </c>
      <c r="L35" s="21">
        <v>2526534.71</v>
      </c>
      <c r="M35" s="25">
        <f t="shared" si="14"/>
        <v>2.7640851211578974E-2</v>
      </c>
      <c r="N35" s="10"/>
      <c r="R35" s="2"/>
    </row>
    <row r="36" spans="1:18" ht="15.75" customHeight="1" x14ac:dyDescent="0.25">
      <c r="A36" s="19"/>
      <c r="B36" s="20">
        <f>DATE(2014,10,1)</f>
        <v>41913</v>
      </c>
      <c r="C36" s="21">
        <v>68120</v>
      </c>
      <c r="D36" s="21">
        <v>62704</v>
      </c>
      <c r="E36" s="23">
        <f t="shared" si="10"/>
        <v>8.6374075019137533E-2</v>
      </c>
      <c r="F36" s="21">
        <f>C36-39168</f>
        <v>28952</v>
      </c>
      <c r="G36" s="21">
        <f>D36-35119</f>
        <v>27585</v>
      </c>
      <c r="H36" s="23">
        <f t="shared" si="11"/>
        <v>4.9555918071415628E-2</v>
      </c>
      <c r="I36" s="24">
        <f t="shared" si="12"/>
        <v>37.851111861421025</v>
      </c>
      <c r="J36" s="24">
        <f t="shared" si="13"/>
        <v>89.058363498203931</v>
      </c>
      <c r="K36" s="21">
        <v>2578417.7400000002</v>
      </c>
      <c r="L36" s="21">
        <v>2327598.84</v>
      </c>
      <c r="M36" s="25">
        <f t="shared" si="14"/>
        <v>0.1077586462450722</v>
      </c>
      <c r="N36" s="10"/>
      <c r="R36" s="2"/>
    </row>
    <row r="37" spans="1:18" ht="15.75" customHeight="1" x14ac:dyDescent="0.25">
      <c r="A37" s="19"/>
      <c r="B37" s="20">
        <f>DATE(2014,11,1)</f>
        <v>41944</v>
      </c>
      <c r="C37" s="21">
        <v>70883</v>
      </c>
      <c r="D37" s="22">
        <v>65148</v>
      </c>
      <c r="E37" s="23">
        <f t="shared" si="10"/>
        <v>8.8030330938785539E-2</v>
      </c>
      <c r="F37" s="21">
        <f>C37-40956</f>
        <v>29927</v>
      </c>
      <c r="G37" s="21">
        <f>D37-37452</f>
        <v>27696</v>
      </c>
      <c r="H37" s="23">
        <f t="shared" si="11"/>
        <v>8.0553148469093006E-2</v>
      </c>
      <c r="I37" s="24">
        <f t="shared" si="12"/>
        <v>38.85163170294711</v>
      </c>
      <c r="J37" s="24">
        <f t="shared" si="13"/>
        <v>92.021258729575294</v>
      </c>
      <c r="K37" s="21">
        <v>2753920.21</v>
      </c>
      <c r="L37" s="21">
        <v>2425306.31</v>
      </c>
      <c r="M37" s="25">
        <f t="shared" si="14"/>
        <v>0.13549377191864886</v>
      </c>
      <c r="N37" s="10"/>
      <c r="R37" s="2"/>
    </row>
    <row r="38" spans="1:18" ht="15.75" customHeight="1" x14ac:dyDescent="0.25">
      <c r="A38" s="19"/>
      <c r="B38" s="20">
        <f>DATE(2014,12,1)</f>
        <v>41974</v>
      </c>
      <c r="C38" s="21">
        <v>72435</v>
      </c>
      <c r="D38" s="22">
        <v>59030</v>
      </c>
      <c r="E38" s="23">
        <f t="shared" si="10"/>
        <v>0.22708792139590039</v>
      </c>
      <c r="F38" s="21">
        <f>+C38-41824</f>
        <v>30611</v>
      </c>
      <c r="G38" s="21">
        <f>+D38-34857</f>
        <v>24173</v>
      </c>
      <c r="H38" s="23">
        <f t="shared" si="11"/>
        <v>0.26633020311918254</v>
      </c>
      <c r="I38" s="24">
        <f t="shared" si="12"/>
        <v>38.399553668806519</v>
      </c>
      <c r="J38" s="24">
        <f t="shared" si="13"/>
        <v>90.865103067524743</v>
      </c>
      <c r="K38" s="21">
        <v>2781471.67</v>
      </c>
      <c r="L38" s="21">
        <v>2352148.31</v>
      </c>
      <c r="M38" s="25">
        <f t="shared" si="14"/>
        <v>0.18252393277020865</v>
      </c>
      <c r="N38" s="10"/>
      <c r="R38" s="2"/>
    </row>
    <row r="39" spans="1:18" ht="15.75" customHeight="1" x14ac:dyDescent="0.25">
      <c r="A39" s="19"/>
      <c r="B39" s="20">
        <f>DATE(2015,1,1)</f>
        <v>42005</v>
      </c>
      <c r="C39" s="21">
        <v>73408</v>
      </c>
      <c r="D39" s="22">
        <v>62722</v>
      </c>
      <c r="E39" s="23">
        <f t="shared" si="10"/>
        <v>0.17037084276649342</v>
      </c>
      <c r="F39" s="21">
        <f>+C39-42874</f>
        <v>30534</v>
      </c>
      <c r="G39" s="21">
        <f>+D39-36963</f>
        <v>25759</v>
      </c>
      <c r="H39" s="23">
        <f t="shared" si="11"/>
        <v>0.18537210295430723</v>
      </c>
      <c r="I39" s="24">
        <f t="shared" si="12"/>
        <v>38.281907966434176</v>
      </c>
      <c r="J39" s="24">
        <f t="shared" si="13"/>
        <v>92.035052728106365</v>
      </c>
      <c r="K39" s="21">
        <v>2810198.3</v>
      </c>
      <c r="L39" s="21">
        <v>2419612.2999999998</v>
      </c>
      <c r="M39" s="25">
        <f t="shared" si="14"/>
        <v>0.1614250349115848</v>
      </c>
      <c r="N39" s="10"/>
      <c r="R39" s="2"/>
    </row>
    <row r="40" spans="1:18" ht="15.75" customHeight="1" x14ac:dyDescent="0.25">
      <c r="A40" s="19"/>
      <c r="B40" s="20">
        <f>DATE(2015,2,1)</f>
        <v>42036</v>
      </c>
      <c r="C40" s="21">
        <v>72953</v>
      </c>
      <c r="D40" s="22">
        <v>69412</v>
      </c>
      <c r="E40" s="23">
        <f t="shared" si="10"/>
        <v>5.1014233850054748E-2</v>
      </c>
      <c r="F40" s="21">
        <f>+C40-42860</f>
        <v>30093</v>
      </c>
      <c r="G40" s="21">
        <f>+D40-41429</f>
        <v>27983</v>
      </c>
      <c r="H40" s="23">
        <f t="shared" si="11"/>
        <v>7.5402923203373481E-2</v>
      </c>
      <c r="I40" s="24">
        <f t="shared" si="12"/>
        <v>39.677460145573178</v>
      </c>
      <c r="J40" s="24">
        <f t="shared" si="13"/>
        <v>96.188141760542322</v>
      </c>
      <c r="K40" s="21">
        <v>2894589.75</v>
      </c>
      <c r="L40" s="21">
        <v>2742932.47</v>
      </c>
      <c r="M40" s="25">
        <f t="shared" si="14"/>
        <v>5.5290198230800697E-2</v>
      </c>
      <c r="N40" s="10"/>
      <c r="R40" s="2"/>
    </row>
    <row r="41" spans="1:18" ht="15.75" customHeight="1" x14ac:dyDescent="0.25">
      <c r="A41" s="19"/>
      <c r="B41" s="20">
        <f>DATE(2015,3,1)</f>
        <v>42064</v>
      </c>
      <c r="C41" s="21">
        <v>75547</v>
      </c>
      <c r="D41" s="22">
        <v>71189</v>
      </c>
      <c r="E41" s="23">
        <f t="shared" si="10"/>
        <v>6.1217322901009986E-2</v>
      </c>
      <c r="F41" s="21">
        <f>+C41-42761</f>
        <v>32786</v>
      </c>
      <c r="G41" s="21">
        <f>+D41-42462</f>
        <v>28727</v>
      </c>
      <c r="H41" s="23">
        <f t="shared" si="11"/>
        <v>0.14129564521182164</v>
      </c>
      <c r="I41" s="24">
        <f t="shared" si="12"/>
        <v>39.161492448409597</v>
      </c>
      <c r="J41" s="24">
        <f t="shared" si="13"/>
        <v>90.237701152931123</v>
      </c>
      <c r="K41" s="21">
        <v>2958533.27</v>
      </c>
      <c r="L41" s="21">
        <v>2902181.54</v>
      </c>
      <c r="M41" s="25">
        <f t="shared" si="14"/>
        <v>1.9417024477386753E-2</v>
      </c>
      <c r="N41" s="10"/>
      <c r="R41" s="2"/>
    </row>
    <row r="42" spans="1:18" ht="15.75" customHeight="1" thickBot="1" x14ac:dyDescent="0.25">
      <c r="A42" s="38"/>
      <c r="B42" s="20"/>
      <c r="C42" s="21"/>
      <c r="D42" s="21"/>
      <c r="E42" s="23"/>
      <c r="F42" s="21"/>
      <c r="G42" s="21"/>
      <c r="H42" s="23"/>
      <c r="I42" s="24"/>
      <c r="J42" s="24"/>
      <c r="K42" s="21"/>
      <c r="L42" s="21"/>
      <c r="M42" s="25"/>
      <c r="N42" s="10"/>
      <c r="R42" s="2"/>
    </row>
    <row r="43" spans="1:18" ht="17.25" customHeight="1" thickTop="1" thickBot="1" x14ac:dyDescent="0.3">
      <c r="A43" s="39" t="s">
        <v>14</v>
      </c>
      <c r="B43" s="40"/>
      <c r="C43" s="41">
        <f>SUM(C33:C42)</f>
        <v>647802</v>
      </c>
      <c r="D43" s="41">
        <f>SUM(D33:D42)</f>
        <v>605872</v>
      </c>
      <c r="E43" s="283">
        <f>(+C43-D43)/D43</f>
        <v>6.9206036918689096E-2</v>
      </c>
      <c r="F43" s="41">
        <f>SUM(F33:F42)</f>
        <v>276837</v>
      </c>
      <c r="G43" s="41">
        <f>SUM(G33:G42)</f>
        <v>259102</v>
      </c>
      <c r="H43" s="42">
        <f>(+F43-G43)/G43</f>
        <v>6.8447947140508378E-2</v>
      </c>
      <c r="I43" s="43">
        <f>K43/C43</f>
        <v>38.801223969669742</v>
      </c>
      <c r="J43" s="43">
        <f>K43/F43</f>
        <v>90.795343433139351</v>
      </c>
      <c r="K43" s="41">
        <f>SUM(K33:K42)</f>
        <v>25135510.489999998</v>
      </c>
      <c r="L43" s="41">
        <f>SUM(L33:L42)</f>
        <v>23252290.879999999</v>
      </c>
      <c r="M43" s="44">
        <f>(+K43-L43)/L43</f>
        <v>8.099071268800502E-2</v>
      </c>
      <c r="N43" s="10"/>
      <c r="R43" s="2"/>
    </row>
    <row r="44" spans="1:18" ht="15.75" customHeight="1" thickTop="1" x14ac:dyDescent="0.2">
      <c r="A44" s="38"/>
      <c r="B44" s="45"/>
      <c r="C44" s="21"/>
      <c r="D44" s="21"/>
      <c r="E44" s="23"/>
      <c r="F44" s="21"/>
      <c r="G44" s="21"/>
      <c r="H44" s="23"/>
      <c r="I44" s="24"/>
      <c r="J44" s="24"/>
      <c r="K44" s="21"/>
      <c r="L44" s="21"/>
      <c r="M44" s="25"/>
      <c r="N44" s="10"/>
      <c r="R44" s="2"/>
    </row>
    <row r="45" spans="1:18" ht="15.75" customHeight="1" x14ac:dyDescent="0.25">
      <c r="A45" s="177" t="s">
        <v>67</v>
      </c>
      <c r="B45" s="20">
        <f>DATE(2014,7,1)</f>
        <v>41821</v>
      </c>
      <c r="C45" s="21">
        <v>421533</v>
      </c>
      <c r="D45" s="21">
        <v>527984</v>
      </c>
      <c r="E45" s="23">
        <f t="shared" ref="E45:E53" si="15">(+C45-D45)/D45</f>
        <v>-0.20161785205612293</v>
      </c>
      <c r="F45" s="21">
        <f>+C45-215434</f>
        <v>206099</v>
      </c>
      <c r="G45" s="21">
        <f>+D45-281153</f>
        <v>246831</v>
      </c>
      <c r="H45" s="23">
        <f t="shared" ref="H45:H53" si="16">(+F45-G45)/G45</f>
        <v>-0.16501979086905616</v>
      </c>
      <c r="I45" s="24">
        <f t="shared" ref="I45:I53" si="17">K45/C45</f>
        <v>45.186172683989156</v>
      </c>
      <c r="J45" s="24">
        <f t="shared" ref="J45:J53" si="18">K45/F45</f>
        <v>92.418997326527546</v>
      </c>
      <c r="K45" s="21">
        <v>19047462.93</v>
      </c>
      <c r="L45" s="21">
        <v>20715249.77</v>
      </c>
      <c r="M45" s="25">
        <f t="shared" ref="M45:M53" si="19">(+K45-L45)/L45</f>
        <v>-8.0510100458228748E-2</v>
      </c>
      <c r="N45" s="10"/>
      <c r="R45" s="2"/>
    </row>
    <row r="46" spans="1:18" ht="15.75" customHeight="1" x14ac:dyDescent="0.25">
      <c r="A46" s="177"/>
      <c r="B46" s="20">
        <f>DATE(2014,8,1)</f>
        <v>41852</v>
      </c>
      <c r="C46" s="21">
        <v>422369</v>
      </c>
      <c r="D46" s="21">
        <v>496242</v>
      </c>
      <c r="E46" s="23">
        <f t="shared" si="15"/>
        <v>-0.14886486835052254</v>
      </c>
      <c r="F46" s="21">
        <f>+C46-216914</f>
        <v>205455</v>
      </c>
      <c r="G46" s="21">
        <f>+D46-262624</f>
        <v>233618</v>
      </c>
      <c r="H46" s="23">
        <f t="shared" si="16"/>
        <v>-0.12055149860027908</v>
      </c>
      <c r="I46" s="24">
        <f t="shared" si="17"/>
        <v>42.642127570915484</v>
      </c>
      <c r="J46" s="24">
        <f t="shared" si="18"/>
        <v>87.662567374850951</v>
      </c>
      <c r="K46" s="21">
        <v>18010712.780000001</v>
      </c>
      <c r="L46" s="21">
        <v>19804736.050000001</v>
      </c>
      <c r="M46" s="25">
        <f t="shared" si="19"/>
        <v>-9.0585568293903088E-2</v>
      </c>
      <c r="N46" s="10"/>
      <c r="R46" s="2"/>
    </row>
    <row r="47" spans="1:18" ht="15.75" customHeight="1" x14ac:dyDescent="0.25">
      <c r="A47" s="177"/>
      <c r="B47" s="20">
        <f>DATE(2014,9,1)</f>
        <v>41883</v>
      </c>
      <c r="C47" s="21">
        <v>375953</v>
      </c>
      <c r="D47" s="21">
        <v>463425</v>
      </c>
      <c r="E47" s="23">
        <f t="shared" si="15"/>
        <v>-0.18875114635593679</v>
      </c>
      <c r="F47" s="21">
        <f>+C47-189575</f>
        <v>186378</v>
      </c>
      <c r="G47" s="21">
        <f>+D47-254423</f>
        <v>209002</v>
      </c>
      <c r="H47" s="23">
        <f t="shared" si="16"/>
        <v>-0.10824776796394293</v>
      </c>
      <c r="I47" s="24">
        <f t="shared" si="17"/>
        <v>43.841595545187829</v>
      </c>
      <c r="J47" s="24">
        <f t="shared" si="18"/>
        <v>88.435219661118794</v>
      </c>
      <c r="K47" s="21">
        <v>16482379.369999999</v>
      </c>
      <c r="L47" s="21">
        <v>18416045.399999999</v>
      </c>
      <c r="M47" s="25">
        <f t="shared" si="19"/>
        <v>-0.10499898257201297</v>
      </c>
      <c r="N47" s="10"/>
      <c r="R47" s="2"/>
    </row>
    <row r="48" spans="1:18" ht="15.75" customHeight="1" x14ac:dyDescent="0.25">
      <c r="A48" s="177"/>
      <c r="B48" s="20">
        <f>DATE(2014,10,1)</f>
        <v>41913</v>
      </c>
      <c r="C48" s="21">
        <v>409850</v>
      </c>
      <c r="D48" s="21">
        <v>451270</v>
      </c>
      <c r="E48" s="23">
        <f t="shared" si="15"/>
        <v>-9.178540563299134E-2</v>
      </c>
      <c r="F48" s="21">
        <f>+C48-207246</f>
        <v>202604</v>
      </c>
      <c r="G48" s="21">
        <f>D48-250501</f>
        <v>200769</v>
      </c>
      <c r="H48" s="23">
        <f t="shared" si="16"/>
        <v>9.1398572488780635E-3</v>
      </c>
      <c r="I48" s="24">
        <f t="shared" si="17"/>
        <v>44.181653556179093</v>
      </c>
      <c r="J48" s="24">
        <f t="shared" si="18"/>
        <v>89.375583453436263</v>
      </c>
      <c r="K48" s="21">
        <v>18107850.710000001</v>
      </c>
      <c r="L48" s="21">
        <v>17168126.879999999</v>
      </c>
      <c r="M48" s="25">
        <f t="shared" si="19"/>
        <v>5.4736538037514902E-2</v>
      </c>
      <c r="N48" s="10"/>
      <c r="R48" s="2"/>
    </row>
    <row r="49" spans="1:18" ht="15.75" customHeight="1" x14ac:dyDescent="0.25">
      <c r="A49" s="177"/>
      <c r="B49" s="20">
        <f>DATE(2014,11,1)</f>
        <v>41944</v>
      </c>
      <c r="C49" s="21">
        <v>406554</v>
      </c>
      <c r="D49" s="22">
        <v>461618</v>
      </c>
      <c r="E49" s="23">
        <f t="shared" si="15"/>
        <v>-0.11928477659016763</v>
      </c>
      <c r="F49" s="21">
        <f>+C49-206259</f>
        <v>200295</v>
      </c>
      <c r="G49" s="21">
        <f>D49-262573</f>
        <v>199045</v>
      </c>
      <c r="H49" s="23">
        <f t="shared" si="16"/>
        <v>6.2799869376271699E-3</v>
      </c>
      <c r="I49" s="24">
        <f t="shared" si="17"/>
        <v>42.304772059800179</v>
      </c>
      <c r="J49" s="24">
        <f t="shared" si="18"/>
        <v>85.869214408747098</v>
      </c>
      <c r="K49" s="21">
        <v>17199174.300000001</v>
      </c>
      <c r="L49" s="21">
        <v>17529388.629999999</v>
      </c>
      <c r="M49" s="25">
        <f t="shared" si="19"/>
        <v>-1.8837755096310978E-2</v>
      </c>
      <c r="N49" s="10"/>
      <c r="R49" s="2"/>
    </row>
    <row r="50" spans="1:18" ht="15.75" customHeight="1" x14ac:dyDescent="0.25">
      <c r="A50" s="177"/>
      <c r="B50" s="20">
        <f>DATE(2014,12,1)</f>
        <v>41974</v>
      </c>
      <c r="C50" s="21">
        <v>430657</v>
      </c>
      <c r="D50" s="22">
        <v>458392</v>
      </c>
      <c r="E50" s="23">
        <f t="shared" si="15"/>
        <v>-6.0504982634950001E-2</v>
      </c>
      <c r="F50" s="21">
        <f>+C50-224689</f>
        <v>205968</v>
      </c>
      <c r="G50" s="21">
        <f>+D50-248912</f>
        <v>209480</v>
      </c>
      <c r="H50" s="23">
        <f t="shared" si="16"/>
        <v>-1.6765323658583159E-2</v>
      </c>
      <c r="I50" s="24">
        <f t="shared" si="17"/>
        <v>41.225167058703327</v>
      </c>
      <c r="J50" s="24">
        <f t="shared" si="18"/>
        <v>86.19740333449856</v>
      </c>
      <c r="K50" s="21">
        <v>17753906.77</v>
      </c>
      <c r="L50" s="21">
        <v>18058274.800000001</v>
      </c>
      <c r="M50" s="25">
        <f t="shared" si="19"/>
        <v>-1.6854767876275822E-2</v>
      </c>
      <c r="N50" s="10"/>
      <c r="R50" s="2"/>
    </row>
    <row r="51" spans="1:18" ht="15.75" customHeight="1" x14ac:dyDescent="0.25">
      <c r="A51" s="177"/>
      <c r="B51" s="20">
        <f>DATE(2015,1,1)</f>
        <v>42005</v>
      </c>
      <c r="C51" s="21">
        <v>444117</v>
      </c>
      <c r="D51" s="22">
        <v>427322</v>
      </c>
      <c r="E51" s="23">
        <f t="shared" si="15"/>
        <v>3.9302914429867872E-2</v>
      </c>
      <c r="F51" s="21">
        <f>+C51-238744</f>
        <v>205373</v>
      </c>
      <c r="G51" s="21">
        <f>+D51-223992</f>
        <v>203330</v>
      </c>
      <c r="H51" s="23">
        <f t="shared" si="16"/>
        <v>1.0047705700093444E-2</v>
      </c>
      <c r="I51" s="24">
        <f t="shared" si="17"/>
        <v>40.305406976089635</v>
      </c>
      <c r="J51" s="24">
        <f t="shared" si="18"/>
        <v>87.160027997838085</v>
      </c>
      <c r="K51" s="21">
        <v>17900316.43</v>
      </c>
      <c r="L51" s="21">
        <v>17260457.440000001</v>
      </c>
      <c r="M51" s="25">
        <f t="shared" si="19"/>
        <v>3.7070801409768331E-2</v>
      </c>
      <c r="N51" s="10"/>
      <c r="R51" s="2"/>
    </row>
    <row r="52" spans="1:18" ht="15.75" customHeight="1" x14ac:dyDescent="0.25">
      <c r="A52" s="177"/>
      <c r="B52" s="20">
        <f>DATE(2015,2,1)</f>
        <v>42036</v>
      </c>
      <c r="C52" s="21">
        <v>419947</v>
      </c>
      <c r="D52" s="22">
        <v>431931</v>
      </c>
      <c r="E52" s="23">
        <f t="shared" si="15"/>
        <v>-2.7745172261310257E-2</v>
      </c>
      <c r="F52" s="21">
        <f>+C52-224073</f>
        <v>195874</v>
      </c>
      <c r="G52" s="21">
        <f>+D52-228252</f>
        <v>203679</v>
      </c>
      <c r="H52" s="23">
        <f t="shared" si="16"/>
        <v>-3.8320101728700554E-2</v>
      </c>
      <c r="I52" s="24">
        <f t="shared" si="17"/>
        <v>42.660663488487828</v>
      </c>
      <c r="J52" s="24">
        <f t="shared" si="18"/>
        <v>91.462969306799266</v>
      </c>
      <c r="K52" s="21">
        <v>17915217.649999999</v>
      </c>
      <c r="L52" s="21">
        <v>18029186.649999999</v>
      </c>
      <c r="M52" s="25">
        <f t="shared" si="19"/>
        <v>-6.3213611469267253E-3</v>
      </c>
      <c r="N52" s="10"/>
      <c r="R52" s="2"/>
    </row>
    <row r="53" spans="1:18" ht="15.75" customHeight="1" x14ac:dyDescent="0.25">
      <c r="A53" s="177"/>
      <c r="B53" s="20">
        <f>DATE(2015,3,1)</f>
        <v>42064</v>
      </c>
      <c r="C53" s="21">
        <v>486628</v>
      </c>
      <c r="D53" s="22">
        <v>474289</v>
      </c>
      <c r="E53" s="23">
        <f t="shared" si="15"/>
        <v>2.6015783625595364E-2</v>
      </c>
      <c r="F53" s="21">
        <f>+C53-262499</f>
        <v>224129</v>
      </c>
      <c r="G53" s="21">
        <f>+D53-249218</f>
        <v>225071</v>
      </c>
      <c r="H53" s="23">
        <f t="shared" si="16"/>
        <v>-4.1853459574978562E-3</v>
      </c>
      <c r="I53" s="24">
        <f t="shared" si="17"/>
        <v>41.700155128763654</v>
      </c>
      <c r="J53" s="24">
        <f t="shared" si="18"/>
        <v>90.53921219476284</v>
      </c>
      <c r="K53" s="21">
        <v>20292463.09</v>
      </c>
      <c r="L53" s="21">
        <v>20336391.109999999</v>
      </c>
      <c r="M53" s="25">
        <f t="shared" si="19"/>
        <v>-2.1600695896529477E-3</v>
      </c>
      <c r="N53" s="10"/>
      <c r="R53" s="2"/>
    </row>
    <row r="54" spans="1:18" ht="15.75" thickBot="1" x14ac:dyDescent="0.25">
      <c r="A54" s="38"/>
      <c r="B54" s="45"/>
      <c r="C54" s="21"/>
      <c r="D54" s="21"/>
      <c r="E54" s="23"/>
      <c r="F54" s="21"/>
      <c r="G54" s="21"/>
      <c r="H54" s="23"/>
      <c r="I54" s="24"/>
      <c r="J54" s="24"/>
      <c r="K54" s="21"/>
      <c r="L54" s="21"/>
      <c r="M54" s="25"/>
      <c r="N54" s="10"/>
      <c r="R54" s="2"/>
    </row>
    <row r="55" spans="1:18" ht="17.25" thickTop="1" thickBot="1" x14ac:dyDescent="0.3">
      <c r="A55" s="39" t="s">
        <v>14</v>
      </c>
      <c r="B55" s="40"/>
      <c r="C55" s="41">
        <f>SUM(C45:C54)</f>
        <v>3817608</v>
      </c>
      <c r="D55" s="41">
        <f>SUM(D45:D54)</f>
        <v>4192473</v>
      </c>
      <c r="E55" s="283">
        <f>(+C55-D55)/D55</f>
        <v>-8.941381375622455E-2</v>
      </c>
      <c r="F55" s="41">
        <f>SUM(F45:F54)</f>
        <v>1832175</v>
      </c>
      <c r="G55" s="41">
        <f>SUM(G45:G54)</f>
        <v>1930825</v>
      </c>
      <c r="H55" s="42">
        <f>(+F55-G55)/G55</f>
        <v>-5.1092149728742896E-2</v>
      </c>
      <c r="I55" s="43">
        <f>K55/C55</f>
        <v>42.620793970989162</v>
      </c>
      <c r="J55" s="43">
        <f>K55/F55</f>
        <v>88.806737364061846</v>
      </c>
      <c r="K55" s="41">
        <f>SUM(K45:K54)</f>
        <v>162709484.03</v>
      </c>
      <c r="L55" s="41">
        <f>SUM(L45:L54)</f>
        <v>167317856.72999996</v>
      </c>
      <c r="M55" s="44">
        <f>(+K55-L55)/L55</f>
        <v>-2.7542623304316331E-2</v>
      </c>
      <c r="N55" s="10"/>
      <c r="R55" s="2"/>
    </row>
    <row r="56" spans="1:18" ht="15.75" thickTop="1" x14ac:dyDescent="0.2">
      <c r="A56" s="38"/>
      <c r="B56" s="45"/>
      <c r="C56" s="21"/>
      <c r="D56" s="21"/>
      <c r="E56" s="23"/>
      <c r="F56" s="21"/>
      <c r="G56" s="21"/>
      <c r="H56" s="23"/>
      <c r="I56" s="24"/>
      <c r="J56" s="24"/>
      <c r="K56" s="21"/>
      <c r="L56" s="21"/>
      <c r="M56" s="25"/>
      <c r="N56" s="10"/>
      <c r="R56" s="2"/>
    </row>
    <row r="57" spans="1:18" ht="15.75" x14ac:dyDescent="0.25">
      <c r="A57" s="19" t="s">
        <v>16</v>
      </c>
      <c r="B57" s="20">
        <f>DATE(2014,7,1)</f>
        <v>41821</v>
      </c>
      <c r="C57" s="21">
        <v>319198</v>
      </c>
      <c r="D57" s="21">
        <v>328290</v>
      </c>
      <c r="E57" s="23">
        <f t="shared" ref="E57:E65" si="20">(+C57-D57)/D57</f>
        <v>-2.7695025739437693E-2</v>
      </c>
      <c r="F57" s="21">
        <f>+C57-151618</f>
        <v>167580</v>
      </c>
      <c r="G57" s="21">
        <f>+D57-151367</f>
        <v>176923</v>
      </c>
      <c r="H57" s="23">
        <f t="shared" ref="H57:H65" si="21">(+F57-G57)/G57</f>
        <v>-5.2808283829688621E-2</v>
      </c>
      <c r="I57" s="24">
        <f t="shared" ref="I57:I65" si="22">K57/C57</f>
        <v>45.175578230440046</v>
      </c>
      <c r="J57" s="24">
        <f t="shared" ref="J57:J65" si="23">K57/F57</f>
        <v>86.048181286549706</v>
      </c>
      <c r="K57" s="21">
        <v>14419954.220000001</v>
      </c>
      <c r="L57" s="21">
        <v>14865311.24</v>
      </c>
      <c r="M57" s="25">
        <f t="shared" ref="M57:M65" si="24">(+K57-L57)/L57</f>
        <v>-2.9959481695991691E-2</v>
      </c>
      <c r="N57" s="10"/>
      <c r="R57" s="2"/>
    </row>
    <row r="58" spans="1:18" ht="15.75" x14ac:dyDescent="0.25">
      <c r="A58" s="19"/>
      <c r="B58" s="20">
        <f>DATE(2014,8,1)</f>
        <v>41852</v>
      </c>
      <c r="C58" s="21">
        <v>344204</v>
      </c>
      <c r="D58" s="21">
        <v>339771</v>
      </c>
      <c r="E58" s="23">
        <f t="shared" si="20"/>
        <v>1.3047022847741566E-2</v>
      </c>
      <c r="F58" s="21">
        <f>+C58-162416</f>
        <v>181788</v>
      </c>
      <c r="G58" s="21">
        <f>+D58-158219</f>
        <v>181552</v>
      </c>
      <c r="H58" s="23">
        <f t="shared" si="21"/>
        <v>1.2999030580770248E-3</v>
      </c>
      <c r="I58" s="24">
        <f t="shared" si="22"/>
        <v>42.85400346887311</v>
      </c>
      <c r="J58" s="24">
        <f t="shared" si="23"/>
        <v>81.141326215151722</v>
      </c>
      <c r="K58" s="21">
        <v>14750519.41</v>
      </c>
      <c r="L58" s="21">
        <v>15514269.67</v>
      </c>
      <c r="M58" s="25">
        <f t="shared" si="24"/>
        <v>-4.9228889032196368E-2</v>
      </c>
      <c r="N58" s="10"/>
      <c r="R58" s="2"/>
    </row>
    <row r="59" spans="1:18" ht="15.75" x14ac:dyDescent="0.25">
      <c r="A59" s="19"/>
      <c r="B59" s="20">
        <f>DATE(2014,9,1)</f>
        <v>41883</v>
      </c>
      <c r="C59" s="21">
        <v>313842</v>
      </c>
      <c r="D59" s="21">
        <v>321452</v>
      </c>
      <c r="E59" s="23">
        <f t="shared" si="20"/>
        <v>-2.3673829996391373E-2</v>
      </c>
      <c r="F59" s="21">
        <f>+C59-147906</f>
        <v>165936</v>
      </c>
      <c r="G59" s="21">
        <f>+D59-148195</f>
        <v>173257</v>
      </c>
      <c r="H59" s="23">
        <f t="shared" si="21"/>
        <v>-4.2255146978188468E-2</v>
      </c>
      <c r="I59" s="24">
        <f t="shared" si="22"/>
        <v>45.353082984431659</v>
      </c>
      <c r="J59" s="24">
        <f t="shared" si="23"/>
        <v>85.778265536110311</v>
      </c>
      <c r="K59" s="21">
        <v>14233702.27</v>
      </c>
      <c r="L59" s="21">
        <v>14049207.189999999</v>
      </c>
      <c r="M59" s="25">
        <f t="shared" si="24"/>
        <v>1.3132063432826352E-2</v>
      </c>
      <c r="N59" s="10"/>
      <c r="R59" s="2"/>
    </row>
    <row r="60" spans="1:18" ht="15.75" x14ac:dyDescent="0.25">
      <c r="A60" s="19"/>
      <c r="B60" s="20">
        <f>DATE(2014,10,1)</f>
        <v>41913</v>
      </c>
      <c r="C60" s="21">
        <v>313776</v>
      </c>
      <c r="D60" s="21">
        <v>324126</v>
      </c>
      <c r="E60" s="23">
        <f t="shared" si="20"/>
        <v>-3.1932026434164491E-2</v>
      </c>
      <c r="F60" s="21">
        <f>C60-151498</f>
        <v>162278</v>
      </c>
      <c r="G60" s="21">
        <f>D60-149108</f>
        <v>175018</v>
      </c>
      <c r="H60" s="23">
        <f t="shared" si="21"/>
        <v>-7.2792512770115073E-2</v>
      </c>
      <c r="I60" s="24">
        <f t="shared" si="22"/>
        <v>46.820709327673249</v>
      </c>
      <c r="J60" s="24">
        <f t="shared" si="23"/>
        <v>90.531155732754911</v>
      </c>
      <c r="K60" s="21">
        <v>14691214.890000001</v>
      </c>
      <c r="L60" s="21">
        <v>15712922.039999999</v>
      </c>
      <c r="M60" s="25">
        <f t="shared" si="24"/>
        <v>-6.5023370408066924E-2</v>
      </c>
      <c r="N60" s="10"/>
      <c r="R60" s="2"/>
    </row>
    <row r="61" spans="1:18" ht="15.75" x14ac:dyDescent="0.25">
      <c r="A61" s="19"/>
      <c r="B61" s="20">
        <f>DATE(2014,11,1)</f>
        <v>41944</v>
      </c>
      <c r="C61" s="21">
        <v>315173</v>
      </c>
      <c r="D61" s="22">
        <v>334601</v>
      </c>
      <c r="E61" s="23">
        <f t="shared" si="20"/>
        <v>-5.8063185704764778E-2</v>
      </c>
      <c r="F61" s="21">
        <f>C61-150832</f>
        <v>164341</v>
      </c>
      <c r="G61" s="21">
        <f>D61-156770</f>
        <v>177831</v>
      </c>
      <c r="H61" s="23">
        <f t="shared" si="21"/>
        <v>-7.585853984963252E-2</v>
      </c>
      <c r="I61" s="24">
        <f t="shared" si="22"/>
        <v>45.688438159360096</v>
      </c>
      <c r="J61" s="24">
        <f t="shared" si="23"/>
        <v>87.621239495926147</v>
      </c>
      <c r="K61" s="21">
        <v>14399762.119999999</v>
      </c>
      <c r="L61" s="21">
        <v>15616567.66</v>
      </c>
      <c r="M61" s="25">
        <f t="shared" si="24"/>
        <v>-7.791760433483122E-2</v>
      </c>
      <c r="N61" s="10"/>
      <c r="R61" s="2"/>
    </row>
    <row r="62" spans="1:18" ht="15.75" x14ac:dyDescent="0.25">
      <c r="A62" s="19"/>
      <c r="B62" s="20">
        <f>DATE(2014,12,1)</f>
        <v>41974</v>
      </c>
      <c r="C62" s="21">
        <v>326322</v>
      </c>
      <c r="D62" s="22">
        <v>301819</v>
      </c>
      <c r="E62" s="23">
        <f t="shared" si="20"/>
        <v>8.1184418475974005E-2</v>
      </c>
      <c r="F62" s="21">
        <f>+C62-157877</f>
        <v>168445</v>
      </c>
      <c r="G62" s="21">
        <f>+D62-143369</f>
        <v>158450</v>
      </c>
      <c r="H62" s="23">
        <f t="shared" si="21"/>
        <v>6.3079835910381826E-2</v>
      </c>
      <c r="I62" s="24">
        <f t="shared" si="22"/>
        <v>44.4901941027574</v>
      </c>
      <c r="J62" s="24">
        <f t="shared" si="23"/>
        <v>86.189136632135117</v>
      </c>
      <c r="K62" s="21">
        <v>14518129.119999999</v>
      </c>
      <c r="L62" s="21">
        <v>13194694.810000001</v>
      </c>
      <c r="M62" s="25">
        <f t="shared" si="24"/>
        <v>0.10030048660140238</v>
      </c>
      <c r="N62" s="10"/>
      <c r="R62" s="2"/>
    </row>
    <row r="63" spans="1:18" ht="15.75" x14ac:dyDescent="0.25">
      <c r="A63" s="19"/>
      <c r="B63" s="20">
        <f>DATE(2015,1,1)</f>
        <v>42005</v>
      </c>
      <c r="C63" s="21">
        <v>317924</v>
      </c>
      <c r="D63" s="22">
        <v>289898</v>
      </c>
      <c r="E63" s="23">
        <f t="shared" si="20"/>
        <v>9.6675382375870131E-2</v>
      </c>
      <c r="F63" s="21">
        <f>+C63-154706</f>
        <v>163218</v>
      </c>
      <c r="G63" s="21">
        <f>+D63-137514</f>
        <v>152384</v>
      </c>
      <c r="H63" s="23">
        <f t="shared" si="21"/>
        <v>7.1096703065938682E-2</v>
      </c>
      <c r="I63" s="24">
        <f t="shared" si="22"/>
        <v>44.30899391049433</v>
      </c>
      <c r="J63" s="24">
        <f t="shared" si="23"/>
        <v>86.3072245708194</v>
      </c>
      <c r="K63" s="21">
        <v>14086892.58</v>
      </c>
      <c r="L63" s="21">
        <v>12880476.390000001</v>
      </c>
      <c r="M63" s="25">
        <f t="shared" si="24"/>
        <v>9.3662388988704118E-2</v>
      </c>
      <c r="N63" s="10"/>
      <c r="R63" s="2"/>
    </row>
    <row r="64" spans="1:18" ht="15.75" x14ac:dyDescent="0.25">
      <c r="A64" s="19"/>
      <c r="B64" s="20">
        <f>DATE(2015,2,1)</f>
        <v>42036</v>
      </c>
      <c r="C64" s="21">
        <v>303822</v>
      </c>
      <c r="D64" s="22">
        <v>304239</v>
      </c>
      <c r="E64" s="23">
        <f t="shared" si="20"/>
        <v>-1.3706329563270981E-3</v>
      </c>
      <c r="F64" s="21">
        <f>+C64-148098</f>
        <v>155724</v>
      </c>
      <c r="G64" s="21">
        <f>+D64-147092</f>
        <v>157147</v>
      </c>
      <c r="H64" s="23">
        <f t="shared" si="21"/>
        <v>-9.0552158170375506E-3</v>
      </c>
      <c r="I64" s="24">
        <f t="shared" si="22"/>
        <v>45.642990698501102</v>
      </c>
      <c r="J64" s="24">
        <f t="shared" si="23"/>
        <v>89.050786776604767</v>
      </c>
      <c r="K64" s="21">
        <v>13867344.720000001</v>
      </c>
      <c r="L64" s="21">
        <v>13404922.199999999</v>
      </c>
      <c r="M64" s="25">
        <f t="shared" si="24"/>
        <v>3.4496471751249806E-2</v>
      </c>
      <c r="N64" s="10"/>
      <c r="R64" s="2"/>
    </row>
    <row r="65" spans="1:18" ht="15.75" x14ac:dyDescent="0.25">
      <c r="A65" s="19"/>
      <c r="B65" s="20">
        <f>DATE(2015,3,1)</f>
        <v>42064</v>
      </c>
      <c r="C65" s="21">
        <v>335164</v>
      </c>
      <c r="D65" s="22">
        <v>357281</v>
      </c>
      <c r="E65" s="23">
        <f t="shared" si="20"/>
        <v>-6.1903655665988398E-2</v>
      </c>
      <c r="F65" s="21">
        <f>+C65-162701</f>
        <v>172463</v>
      </c>
      <c r="G65" s="21">
        <f>+D65-171897</f>
        <v>185384</v>
      </c>
      <c r="H65" s="23">
        <f t="shared" si="21"/>
        <v>-6.9698571613515725E-2</v>
      </c>
      <c r="I65" s="24">
        <f t="shared" si="22"/>
        <v>47.206414471721303</v>
      </c>
      <c r="J65" s="24">
        <f t="shared" si="23"/>
        <v>91.740783240463173</v>
      </c>
      <c r="K65" s="21">
        <v>15821890.699999999</v>
      </c>
      <c r="L65" s="21">
        <v>15535963.550000001</v>
      </c>
      <c r="M65" s="25">
        <f t="shared" si="24"/>
        <v>1.8404210918736258E-2</v>
      </c>
      <c r="N65" s="10"/>
      <c r="R65" s="2"/>
    </row>
    <row r="66" spans="1:18" ht="15.75" thickBot="1" x14ac:dyDescent="0.25">
      <c r="A66" s="38"/>
      <c r="B66" s="20"/>
      <c r="C66" s="21"/>
      <c r="D66" s="21"/>
      <c r="E66" s="23"/>
      <c r="F66" s="21"/>
      <c r="G66" s="21"/>
      <c r="H66" s="23"/>
      <c r="I66" s="24"/>
      <c r="J66" s="24"/>
      <c r="K66" s="21"/>
      <c r="L66" s="21"/>
      <c r="M66" s="25"/>
      <c r="N66" s="10"/>
      <c r="R66" s="2"/>
    </row>
    <row r="67" spans="1:18" ht="17.25" thickTop="1" thickBot="1" x14ac:dyDescent="0.3">
      <c r="A67" s="39" t="s">
        <v>14</v>
      </c>
      <c r="B67" s="40"/>
      <c r="C67" s="41">
        <f>SUM(C57:C66)</f>
        <v>2889425</v>
      </c>
      <c r="D67" s="41">
        <f>SUM(D57:D66)</f>
        <v>2901477</v>
      </c>
      <c r="E67" s="284">
        <f>(+C67-D67)/D67</f>
        <v>-4.153746522891617E-3</v>
      </c>
      <c r="F67" s="47">
        <f>SUM(F57:F66)</f>
        <v>1501773</v>
      </c>
      <c r="G67" s="48">
        <f>SUM(G57:G66)</f>
        <v>1537946</v>
      </c>
      <c r="H67" s="49">
        <f>(+F67-G67)/G67</f>
        <v>-2.3520331663140319E-2</v>
      </c>
      <c r="I67" s="50">
        <f>K67/C67</f>
        <v>45.264857205153277</v>
      </c>
      <c r="J67" s="51">
        <f>K67/F67</f>
        <v>87.089999640425034</v>
      </c>
      <c r="K67" s="48">
        <f>SUM(K57:K66)</f>
        <v>130789410.03000002</v>
      </c>
      <c r="L67" s="47">
        <f>SUM(L57:L66)</f>
        <v>130774334.75</v>
      </c>
      <c r="M67" s="44">
        <f>(+K67-L67)/L67</f>
        <v>1.1527705362703895E-4</v>
      </c>
      <c r="N67" s="10"/>
      <c r="R67" s="2"/>
    </row>
    <row r="68" spans="1:18" ht="15.75" customHeight="1" thickTop="1" x14ac:dyDescent="0.25">
      <c r="A68" s="275"/>
      <c r="B68" s="45"/>
      <c r="C68" s="21"/>
      <c r="D68" s="21"/>
      <c r="E68" s="23"/>
      <c r="F68" s="21"/>
      <c r="G68" s="21"/>
      <c r="H68" s="23"/>
      <c r="I68" s="24"/>
      <c r="J68" s="24"/>
      <c r="K68" s="21"/>
      <c r="L68" s="21"/>
      <c r="M68" s="25"/>
      <c r="N68" s="10"/>
      <c r="R68" s="2"/>
    </row>
    <row r="69" spans="1:18" ht="15.75" x14ac:dyDescent="0.25">
      <c r="A69" s="276" t="s">
        <v>68</v>
      </c>
      <c r="B69" s="20">
        <f>DATE(2014,7,1)</f>
        <v>41821</v>
      </c>
      <c r="C69" s="21">
        <v>169515</v>
      </c>
      <c r="D69" s="21">
        <v>165951</v>
      </c>
      <c r="E69" s="23">
        <f t="shared" ref="E69:E77" si="25">(+C69-D69)/D69</f>
        <v>2.1476218883887413E-2</v>
      </c>
      <c r="F69" s="21">
        <f>+C69-78908</f>
        <v>90607</v>
      </c>
      <c r="G69" s="21">
        <f>+D69-83581</f>
        <v>82370</v>
      </c>
      <c r="H69" s="23">
        <f t="shared" ref="H69:H77" si="26">(+F69-G69)/G69</f>
        <v>0.1</v>
      </c>
      <c r="I69" s="24">
        <f t="shared" ref="I69:I77" si="27">K69/C69</f>
        <v>31.652223402058816</v>
      </c>
      <c r="J69" s="24">
        <f t="shared" ref="J69:J77" si="28">K69/F69</f>
        <v>59.21757314556271</v>
      </c>
      <c r="K69" s="21">
        <v>5365526.6500000004</v>
      </c>
      <c r="L69" s="21">
        <v>4860646.8899999997</v>
      </c>
      <c r="M69" s="25">
        <f t="shared" ref="M69:M77" si="29">(+K69-L69)/L69</f>
        <v>0.10387089855029578</v>
      </c>
      <c r="N69" s="10"/>
      <c r="R69" s="2"/>
    </row>
    <row r="70" spans="1:18" ht="15.75" x14ac:dyDescent="0.25">
      <c r="A70" s="276"/>
      <c r="B70" s="20">
        <f>DATE(2014,8,1)</f>
        <v>41852</v>
      </c>
      <c r="C70" s="21">
        <v>181287</v>
      </c>
      <c r="D70" s="21">
        <v>175697</v>
      </c>
      <c r="E70" s="23">
        <f t="shared" si="25"/>
        <v>3.1816138010324596E-2</v>
      </c>
      <c r="F70" s="21">
        <f>+C70-83317</f>
        <v>97970</v>
      </c>
      <c r="G70" s="21">
        <f>+D70-88595</f>
        <v>87102</v>
      </c>
      <c r="H70" s="23">
        <f t="shared" si="26"/>
        <v>0.12477325434548001</v>
      </c>
      <c r="I70" s="24">
        <f t="shared" si="27"/>
        <v>31.754341348248911</v>
      </c>
      <c r="J70" s="24">
        <f t="shared" si="28"/>
        <v>58.759306726548949</v>
      </c>
      <c r="K70" s="21">
        <v>5756649.2800000003</v>
      </c>
      <c r="L70" s="21">
        <v>5163507.96</v>
      </c>
      <c r="M70" s="25">
        <f t="shared" si="29"/>
        <v>0.11487177411071528</v>
      </c>
      <c r="N70" s="10"/>
      <c r="R70" s="2"/>
    </row>
    <row r="71" spans="1:18" ht="15.75" x14ac:dyDescent="0.25">
      <c r="A71" s="276"/>
      <c r="B71" s="20">
        <f>DATE(2014,9,1)</f>
        <v>41883</v>
      </c>
      <c r="C71" s="21">
        <v>150132</v>
      </c>
      <c r="D71" s="21">
        <v>144756</v>
      </c>
      <c r="E71" s="23">
        <f t="shared" si="25"/>
        <v>3.7138356959297021E-2</v>
      </c>
      <c r="F71" s="21">
        <f>+C71-69946</f>
        <v>80186</v>
      </c>
      <c r="G71" s="21">
        <f>+D71-74140</f>
        <v>70616</v>
      </c>
      <c r="H71" s="23">
        <f t="shared" si="26"/>
        <v>0.13552169480004531</v>
      </c>
      <c r="I71" s="24">
        <f t="shared" si="27"/>
        <v>31.641979591292994</v>
      </c>
      <c r="J71" s="24">
        <f t="shared" si="28"/>
        <v>59.243180605093151</v>
      </c>
      <c r="K71" s="21">
        <v>4750473.68</v>
      </c>
      <c r="L71" s="21">
        <v>4610007.5999999996</v>
      </c>
      <c r="M71" s="25">
        <f t="shared" si="29"/>
        <v>3.0469815277527977E-2</v>
      </c>
      <c r="N71" s="10"/>
      <c r="R71" s="2"/>
    </row>
    <row r="72" spans="1:18" ht="15.75" x14ac:dyDescent="0.25">
      <c r="A72" s="276"/>
      <c r="B72" s="20">
        <f>DATE(2014,10,1)</f>
        <v>41913</v>
      </c>
      <c r="C72" s="21">
        <v>160851</v>
      </c>
      <c r="D72" s="21">
        <v>131947</v>
      </c>
      <c r="E72" s="23">
        <f t="shared" si="25"/>
        <v>0.2190576519360046</v>
      </c>
      <c r="F72" s="21">
        <f>+C72-74039</f>
        <v>86812</v>
      </c>
      <c r="G72" s="21">
        <f>D72-66592</f>
        <v>65355</v>
      </c>
      <c r="H72" s="23">
        <f t="shared" si="26"/>
        <v>0.32831458954938414</v>
      </c>
      <c r="I72" s="24">
        <f t="shared" si="27"/>
        <v>31.993982629887284</v>
      </c>
      <c r="J72" s="24">
        <f t="shared" si="28"/>
        <v>59.280561443118458</v>
      </c>
      <c r="K72" s="21">
        <v>5146264.0999999996</v>
      </c>
      <c r="L72" s="21">
        <v>4252155.2</v>
      </c>
      <c r="M72" s="25">
        <f t="shared" si="29"/>
        <v>0.21027193457096754</v>
      </c>
      <c r="N72" s="10"/>
      <c r="R72" s="2"/>
    </row>
    <row r="73" spans="1:18" ht="15.75" x14ac:dyDescent="0.25">
      <c r="A73" s="276"/>
      <c r="B73" s="20">
        <f>DATE(2014,11,1)</f>
        <v>41944</v>
      </c>
      <c r="C73" s="21">
        <v>159639</v>
      </c>
      <c r="D73" s="22">
        <v>142720</v>
      </c>
      <c r="E73" s="23">
        <f t="shared" si="25"/>
        <v>0.11854680493273542</v>
      </c>
      <c r="F73" s="21">
        <f>+C73-75628</f>
        <v>84011</v>
      </c>
      <c r="G73" s="21">
        <f>D73-74196</f>
        <v>68524</v>
      </c>
      <c r="H73" s="23">
        <f t="shared" si="26"/>
        <v>0.22600840581402137</v>
      </c>
      <c r="I73" s="24">
        <f t="shared" si="27"/>
        <v>31.233883512174341</v>
      </c>
      <c r="J73" s="24">
        <f t="shared" si="28"/>
        <v>59.351107950149384</v>
      </c>
      <c r="K73" s="21">
        <v>4986145.93</v>
      </c>
      <c r="L73" s="21">
        <v>4669598.79</v>
      </c>
      <c r="M73" s="25">
        <f t="shared" si="29"/>
        <v>6.778893738748798E-2</v>
      </c>
      <c r="N73" s="10"/>
      <c r="R73" s="2"/>
    </row>
    <row r="74" spans="1:18" ht="15.75" x14ac:dyDescent="0.25">
      <c r="A74" s="276"/>
      <c r="B74" s="20">
        <f>DATE(2014,12,1)</f>
        <v>41974</v>
      </c>
      <c r="C74" s="21">
        <v>160372</v>
      </c>
      <c r="D74" s="22">
        <v>139569</v>
      </c>
      <c r="E74" s="23">
        <f t="shared" si="25"/>
        <v>0.14905172352026597</v>
      </c>
      <c r="F74" s="21">
        <f>+C74-75831</f>
        <v>84541</v>
      </c>
      <c r="G74" s="21">
        <f>+D74-73033</f>
        <v>66536</v>
      </c>
      <c r="H74" s="23">
        <f t="shared" si="26"/>
        <v>0.27060538655765298</v>
      </c>
      <c r="I74" s="24">
        <f t="shared" si="27"/>
        <v>32.029255106876512</v>
      </c>
      <c r="J74" s="24">
        <f t="shared" si="28"/>
        <v>60.758634272128319</v>
      </c>
      <c r="K74" s="21">
        <v>5136595.7</v>
      </c>
      <c r="L74" s="21">
        <v>4549065.88</v>
      </c>
      <c r="M74" s="25">
        <f t="shared" si="29"/>
        <v>0.12915394841456995</v>
      </c>
      <c r="N74" s="10"/>
      <c r="R74" s="2"/>
    </row>
    <row r="75" spans="1:18" ht="15.75" x14ac:dyDescent="0.25">
      <c r="A75" s="276"/>
      <c r="B75" s="20">
        <f>DATE(2015,1,1)</f>
        <v>42005</v>
      </c>
      <c r="C75" s="21">
        <v>164487</v>
      </c>
      <c r="D75" s="22">
        <v>135616</v>
      </c>
      <c r="E75" s="23">
        <f t="shared" si="25"/>
        <v>0.21288785983954694</v>
      </c>
      <c r="F75" s="21">
        <f>+C75-80335</f>
        <v>84152</v>
      </c>
      <c r="G75" s="21">
        <f>+D75-71656</f>
        <v>63960</v>
      </c>
      <c r="H75" s="23">
        <f t="shared" si="26"/>
        <v>0.31569731081926206</v>
      </c>
      <c r="I75" s="24">
        <f t="shared" si="27"/>
        <v>32.469922547070588</v>
      </c>
      <c r="J75" s="24">
        <f t="shared" si="28"/>
        <v>63.467061388915297</v>
      </c>
      <c r="K75" s="21">
        <v>5340880.1500000004</v>
      </c>
      <c r="L75" s="21">
        <v>4566657.25</v>
      </c>
      <c r="M75" s="25">
        <f t="shared" si="29"/>
        <v>0.16953821090908461</v>
      </c>
      <c r="N75" s="10"/>
      <c r="R75" s="2"/>
    </row>
    <row r="76" spans="1:18" ht="15.75" x14ac:dyDescent="0.25">
      <c r="A76" s="276"/>
      <c r="B76" s="20">
        <f>DATE(2015,2,1)</f>
        <v>42036</v>
      </c>
      <c r="C76" s="21">
        <v>161441</v>
      </c>
      <c r="D76" s="22">
        <v>152539</v>
      </c>
      <c r="E76" s="23">
        <f t="shared" si="25"/>
        <v>5.8358845934482331E-2</v>
      </c>
      <c r="F76" s="21">
        <f>+C76-78361</f>
        <v>83080</v>
      </c>
      <c r="G76" s="21">
        <f>+D76-77833</f>
        <v>74706</v>
      </c>
      <c r="H76" s="23">
        <f t="shared" si="26"/>
        <v>0.11209273686183172</v>
      </c>
      <c r="I76" s="24">
        <f t="shared" si="27"/>
        <v>33.11480726705112</v>
      </c>
      <c r="J76" s="24">
        <f t="shared" si="28"/>
        <v>64.348671160327385</v>
      </c>
      <c r="K76" s="21">
        <v>5346087.5999999996</v>
      </c>
      <c r="L76" s="21">
        <v>4805468.72</v>
      </c>
      <c r="M76" s="25">
        <f t="shared" si="29"/>
        <v>0.11250075934320095</v>
      </c>
      <c r="N76" s="10"/>
      <c r="R76" s="2"/>
    </row>
    <row r="77" spans="1:18" ht="15.75" x14ac:dyDescent="0.25">
      <c r="A77" s="276"/>
      <c r="B77" s="20">
        <f>DATE(2015,3,1)</f>
        <v>42064</v>
      </c>
      <c r="C77" s="21">
        <v>162913</v>
      </c>
      <c r="D77" s="22">
        <v>159002</v>
      </c>
      <c r="E77" s="23">
        <f t="shared" si="25"/>
        <v>2.4597174878303419E-2</v>
      </c>
      <c r="F77" s="21">
        <f>+C77-80122</f>
        <v>82791</v>
      </c>
      <c r="G77" s="21">
        <f>+D77-80119</f>
        <v>78883</v>
      </c>
      <c r="H77" s="23">
        <f t="shared" si="26"/>
        <v>4.9541726354220807E-2</v>
      </c>
      <c r="I77" s="24">
        <f t="shared" si="27"/>
        <v>35.403909939661041</v>
      </c>
      <c r="J77" s="24">
        <f t="shared" si="28"/>
        <v>69.66647558309478</v>
      </c>
      <c r="K77" s="21">
        <v>5767757.1799999997</v>
      </c>
      <c r="L77" s="21">
        <v>5260672.4400000004</v>
      </c>
      <c r="M77" s="25">
        <f t="shared" si="29"/>
        <v>9.6391620231728259E-2</v>
      </c>
      <c r="N77" s="10"/>
      <c r="R77" s="2"/>
    </row>
    <row r="78" spans="1:18" ht="15.75" customHeight="1" thickBot="1" x14ac:dyDescent="0.3">
      <c r="A78" s="19"/>
      <c r="B78" s="20"/>
      <c r="C78" s="21"/>
      <c r="D78" s="21"/>
      <c r="E78" s="23"/>
      <c r="F78" s="21"/>
      <c r="G78" s="21"/>
      <c r="H78" s="23"/>
      <c r="I78" s="24"/>
      <c r="J78" s="24"/>
      <c r="K78" s="21"/>
      <c r="L78" s="21"/>
      <c r="M78" s="25"/>
      <c r="N78" s="10"/>
      <c r="R78" s="2"/>
    </row>
    <row r="79" spans="1:18" ht="17.45" customHeight="1" thickTop="1" thickBot="1" x14ac:dyDescent="0.3">
      <c r="A79" s="39" t="s">
        <v>14</v>
      </c>
      <c r="B79" s="52"/>
      <c r="C79" s="47">
        <f>SUM(C69:C78)</f>
        <v>1470637</v>
      </c>
      <c r="D79" s="48">
        <f>SUM(D69:D78)</f>
        <v>1347797</v>
      </c>
      <c r="E79" s="284">
        <f>(+C79-D79)/D79</f>
        <v>9.114132172723341E-2</v>
      </c>
      <c r="F79" s="48">
        <f>SUM(F69:F78)</f>
        <v>774150</v>
      </c>
      <c r="G79" s="47">
        <f>SUM(G69:G78)</f>
        <v>658052</v>
      </c>
      <c r="H79" s="46">
        <f>(+F79-G79)/G79</f>
        <v>0.17642678694084965</v>
      </c>
      <c r="I79" s="51">
        <f>K79/C79</f>
        <v>32.36446537792807</v>
      </c>
      <c r="J79" s="50">
        <f>K79/F79</f>
        <v>61.482116217787258</v>
      </c>
      <c r="K79" s="47">
        <f>SUM(K69:K78)</f>
        <v>47596380.270000003</v>
      </c>
      <c r="L79" s="48">
        <f>SUM(L69:L78)</f>
        <v>42737780.729999997</v>
      </c>
      <c r="M79" s="44">
        <f>(+K79-L79)/L79</f>
        <v>0.11368394560996679</v>
      </c>
      <c r="N79" s="10"/>
      <c r="R79" s="2"/>
    </row>
    <row r="80" spans="1:18" ht="15.75" customHeight="1" thickTop="1" x14ac:dyDescent="0.25">
      <c r="A80" s="19"/>
      <c r="B80" s="45"/>
      <c r="C80" s="21"/>
      <c r="D80" s="21"/>
      <c r="E80" s="23"/>
      <c r="F80" s="21"/>
      <c r="G80" s="21"/>
      <c r="H80" s="23"/>
      <c r="I80" s="24"/>
      <c r="J80" s="24"/>
      <c r="K80" s="21"/>
      <c r="L80" s="21"/>
      <c r="M80" s="25"/>
      <c r="N80" s="10"/>
      <c r="R80" s="2"/>
    </row>
    <row r="81" spans="1:18" ht="15.75" x14ac:dyDescent="0.25">
      <c r="A81" s="19" t="s">
        <v>17</v>
      </c>
      <c r="B81" s="20">
        <f>DATE(2014,7,1)</f>
        <v>41821</v>
      </c>
      <c r="C81" s="21">
        <v>237534</v>
      </c>
      <c r="D81" s="21">
        <v>238714</v>
      </c>
      <c r="E81" s="23">
        <f t="shared" ref="E81:E89" si="30">(+C81-D81)/D81</f>
        <v>-4.9431537320810681E-3</v>
      </c>
      <c r="F81" s="21">
        <f>+C81-122793</f>
        <v>114741</v>
      </c>
      <c r="G81" s="21">
        <f>+D81-112243</f>
        <v>126471</v>
      </c>
      <c r="H81" s="23">
        <f t="shared" ref="H81:H89" si="31">(+F81-G81)/G81</f>
        <v>-9.2748535237327137E-2</v>
      </c>
      <c r="I81" s="24">
        <f t="shared" ref="I81:I89" si="32">K81/C81</f>
        <v>26.708134751235612</v>
      </c>
      <c r="J81" s="24">
        <f t="shared" ref="J81:J89" si="33">K81/F81</f>
        <v>55.290524572733375</v>
      </c>
      <c r="K81" s="21">
        <v>6344090.0800000001</v>
      </c>
      <c r="L81" s="21">
        <v>6571271.2300000004</v>
      </c>
      <c r="M81" s="25">
        <f t="shared" ref="M81:M89" si="34">(+K81-L81)/L81</f>
        <v>-3.4571872328575358E-2</v>
      </c>
      <c r="N81" s="10"/>
      <c r="R81" s="2"/>
    </row>
    <row r="82" spans="1:18" ht="15.75" x14ac:dyDescent="0.25">
      <c r="A82" s="19"/>
      <c r="B82" s="20">
        <f>DATE(2014,8,1)</f>
        <v>41852</v>
      </c>
      <c r="C82" s="21">
        <v>229771</v>
      </c>
      <c r="D82" s="21">
        <v>242695</v>
      </c>
      <c r="E82" s="23">
        <f t="shared" si="30"/>
        <v>-5.3252024145532456E-2</v>
      </c>
      <c r="F82" s="21">
        <f>+C82-114313</f>
        <v>115458</v>
      </c>
      <c r="G82" s="21">
        <f>+D82-116570</f>
        <v>126125</v>
      </c>
      <c r="H82" s="23">
        <f t="shared" si="31"/>
        <v>-8.4574826560951444E-2</v>
      </c>
      <c r="I82" s="24">
        <f t="shared" si="32"/>
        <v>27.943566725130673</v>
      </c>
      <c r="J82" s="24">
        <f t="shared" si="33"/>
        <v>55.610016369588941</v>
      </c>
      <c r="K82" s="21">
        <v>6420621.2699999996</v>
      </c>
      <c r="L82" s="21">
        <v>6532918.9400000004</v>
      </c>
      <c r="M82" s="25">
        <f t="shared" si="34"/>
        <v>-1.7189509166020793E-2</v>
      </c>
      <c r="N82" s="10"/>
      <c r="R82" s="2"/>
    </row>
    <row r="83" spans="1:18" ht="15.75" x14ac:dyDescent="0.25">
      <c r="A83" s="19"/>
      <c r="B83" s="20">
        <f>DATE(2014,9,1)</f>
        <v>41883</v>
      </c>
      <c r="C83" s="21">
        <v>204323</v>
      </c>
      <c r="D83" s="21">
        <v>223266</v>
      </c>
      <c r="E83" s="23">
        <f t="shared" si="30"/>
        <v>-8.4844983114312073E-2</v>
      </c>
      <c r="F83" s="21">
        <f>+C83-98157</f>
        <v>106166</v>
      </c>
      <c r="G83" s="21">
        <f>+D83-107094</f>
        <v>116172</v>
      </c>
      <c r="H83" s="23">
        <f t="shared" si="31"/>
        <v>-8.613090934132149E-2</v>
      </c>
      <c r="I83" s="24">
        <f t="shared" si="32"/>
        <v>29.48400302462278</v>
      </c>
      <c r="J83" s="24">
        <f t="shared" si="33"/>
        <v>56.743778139894133</v>
      </c>
      <c r="K83" s="21">
        <v>6024259.9500000002</v>
      </c>
      <c r="L83" s="21">
        <v>6131290.8200000003</v>
      </c>
      <c r="M83" s="25">
        <f t="shared" si="34"/>
        <v>-1.7456498662707393E-2</v>
      </c>
      <c r="N83" s="10"/>
      <c r="R83" s="2"/>
    </row>
    <row r="84" spans="1:18" ht="15.75" x14ac:dyDescent="0.25">
      <c r="A84" s="19"/>
      <c r="B84" s="20">
        <f>DATE(2014,10,1)</f>
        <v>41913</v>
      </c>
      <c r="C84" s="21">
        <v>210762</v>
      </c>
      <c r="D84" s="21">
        <v>220292</v>
      </c>
      <c r="E84" s="23">
        <f t="shared" si="30"/>
        <v>-4.3260762987307758E-2</v>
      </c>
      <c r="F84" s="21">
        <f>C84-103458</f>
        <v>107304</v>
      </c>
      <c r="G84" s="21">
        <f>D84-108103</f>
        <v>112189</v>
      </c>
      <c r="H84" s="23">
        <f t="shared" si="31"/>
        <v>-4.3542593302373672E-2</v>
      </c>
      <c r="I84" s="24">
        <f t="shared" si="32"/>
        <v>29.644767083250304</v>
      </c>
      <c r="J84" s="24">
        <f t="shared" si="33"/>
        <v>58.227003653172297</v>
      </c>
      <c r="K84" s="21">
        <v>6247990.4000000004</v>
      </c>
      <c r="L84" s="21">
        <v>6233760.7599999998</v>
      </c>
      <c r="M84" s="25">
        <f t="shared" si="34"/>
        <v>2.2826734210442488E-3</v>
      </c>
      <c r="N84" s="10"/>
      <c r="R84" s="2"/>
    </row>
    <row r="85" spans="1:18" ht="15.75" x14ac:dyDescent="0.25">
      <c r="A85" s="19"/>
      <c r="B85" s="20">
        <f>DATE(2014,11,1)</f>
        <v>41944</v>
      </c>
      <c r="C85" s="21">
        <v>201690</v>
      </c>
      <c r="D85" s="22">
        <v>207358</v>
      </c>
      <c r="E85" s="23">
        <f t="shared" si="30"/>
        <v>-2.7334368579943865E-2</v>
      </c>
      <c r="F85" s="21">
        <f>C85-98548</f>
        <v>103142</v>
      </c>
      <c r="G85" s="21">
        <f>D85-102857</f>
        <v>104501</v>
      </c>
      <c r="H85" s="23">
        <f t="shared" si="31"/>
        <v>-1.3004660242485718E-2</v>
      </c>
      <c r="I85" s="24">
        <f t="shared" si="32"/>
        <v>30.465635480192372</v>
      </c>
      <c r="J85" s="24">
        <f t="shared" si="33"/>
        <v>59.574315215915917</v>
      </c>
      <c r="K85" s="21">
        <v>6144614.0199999996</v>
      </c>
      <c r="L85" s="21">
        <v>6026158.0099999998</v>
      </c>
      <c r="M85" s="25">
        <f t="shared" si="34"/>
        <v>1.9656970461682233E-2</v>
      </c>
      <c r="N85" s="10"/>
      <c r="R85" s="2"/>
    </row>
    <row r="86" spans="1:18" ht="15.75" x14ac:dyDescent="0.25">
      <c r="A86" s="19"/>
      <c r="B86" s="20">
        <f>DATE(2014,12,1)</f>
        <v>41974</v>
      </c>
      <c r="C86" s="21">
        <v>218746</v>
      </c>
      <c r="D86" s="22">
        <v>191095</v>
      </c>
      <c r="E86" s="23">
        <f t="shared" si="30"/>
        <v>0.14469766346581545</v>
      </c>
      <c r="F86" s="21">
        <f>+C86-109725</f>
        <v>109021</v>
      </c>
      <c r="G86" s="21">
        <f>+D86-95885</f>
        <v>95210</v>
      </c>
      <c r="H86" s="23">
        <f t="shared" si="31"/>
        <v>0.14505829219619787</v>
      </c>
      <c r="I86" s="24">
        <f t="shared" si="32"/>
        <v>29.771909109195139</v>
      </c>
      <c r="J86" s="24">
        <f t="shared" si="33"/>
        <v>59.736069472853856</v>
      </c>
      <c r="K86" s="21">
        <v>6512486.0300000003</v>
      </c>
      <c r="L86" s="21">
        <v>5621672.1200000001</v>
      </c>
      <c r="M86" s="25">
        <f t="shared" si="34"/>
        <v>0.15846066632573372</v>
      </c>
      <c r="N86" s="10"/>
      <c r="R86" s="2"/>
    </row>
    <row r="87" spans="1:18" ht="15.75" x14ac:dyDescent="0.25">
      <c r="A87" s="19"/>
      <c r="B87" s="20">
        <f>DATE(2015,1,1)</f>
        <v>42005</v>
      </c>
      <c r="C87" s="21">
        <v>215579</v>
      </c>
      <c r="D87" s="22">
        <v>193382</v>
      </c>
      <c r="E87" s="23">
        <f t="shared" si="30"/>
        <v>0.11478317526967349</v>
      </c>
      <c r="F87" s="21">
        <f>+C87-109881</f>
        <v>105698</v>
      </c>
      <c r="G87" s="21">
        <f>+D87-96118</f>
        <v>97264</v>
      </c>
      <c r="H87" s="23">
        <f t="shared" si="31"/>
        <v>8.6712452706037182E-2</v>
      </c>
      <c r="I87" s="24">
        <f t="shared" si="32"/>
        <v>29.11065590804299</v>
      </c>
      <c r="J87" s="24">
        <f t="shared" si="33"/>
        <v>59.373366478079056</v>
      </c>
      <c r="K87" s="21">
        <v>6275646.0899999999</v>
      </c>
      <c r="L87" s="21">
        <v>5544998.9400000004</v>
      </c>
      <c r="M87" s="25">
        <f t="shared" si="34"/>
        <v>0.13176686919258443</v>
      </c>
      <c r="N87" s="10"/>
      <c r="R87" s="2"/>
    </row>
    <row r="88" spans="1:18" ht="15.75" x14ac:dyDescent="0.25">
      <c r="A88" s="19"/>
      <c r="B88" s="20">
        <f>DATE(2015,2,1)</f>
        <v>42036</v>
      </c>
      <c r="C88" s="21">
        <v>204931</v>
      </c>
      <c r="D88" s="22">
        <v>217031</v>
      </c>
      <c r="E88" s="23">
        <f t="shared" si="30"/>
        <v>-5.5752404034446694E-2</v>
      </c>
      <c r="F88" s="21">
        <f>+C88-105409</f>
        <v>99522</v>
      </c>
      <c r="G88" s="21">
        <f>+D88-114289</f>
        <v>102742</v>
      </c>
      <c r="H88" s="23">
        <f t="shared" si="31"/>
        <v>-3.1340639660508846E-2</v>
      </c>
      <c r="I88" s="24">
        <f t="shared" si="32"/>
        <v>33.273719007861182</v>
      </c>
      <c r="J88" s="24">
        <f t="shared" si="33"/>
        <v>68.515670002612481</v>
      </c>
      <c r="K88" s="21">
        <v>6818816.5099999998</v>
      </c>
      <c r="L88" s="21">
        <v>6313036.04</v>
      </c>
      <c r="M88" s="25">
        <f t="shared" si="34"/>
        <v>8.0116835512315521E-2</v>
      </c>
      <c r="N88" s="10"/>
      <c r="R88" s="2"/>
    </row>
    <row r="89" spans="1:18" ht="15.75" x14ac:dyDescent="0.25">
      <c r="A89" s="19"/>
      <c r="B89" s="20">
        <f>DATE(2015,3,1)</f>
        <v>42064</v>
      </c>
      <c r="C89" s="21">
        <v>222369</v>
      </c>
      <c r="D89" s="22">
        <v>247052</v>
      </c>
      <c r="E89" s="23">
        <f t="shared" si="30"/>
        <v>-9.9910140375305601E-2</v>
      </c>
      <c r="F89" s="21">
        <f>+C89-110859</f>
        <v>111510</v>
      </c>
      <c r="G89" s="21">
        <f>+D89-126139</f>
        <v>120913</v>
      </c>
      <c r="H89" s="23">
        <f t="shared" si="31"/>
        <v>-7.7766658671937675E-2</v>
      </c>
      <c r="I89" s="24">
        <f t="shared" si="32"/>
        <v>32.830277781525304</v>
      </c>
      <c r="J89" s="24">
        <f t="shared" si="33"/>
        <v>65.468891041162223</v>
      </c>
      <c r="K89" s="21">
        <v>7300436.04</v>
      </c>
      <c r="L89" s="21">
        <v>7530993.0300000003</v>
      </c>
      <c r="M89" s="25">
        <f t="shared" si="34"/>
        <v>-3.0614420844843115E-2</v>
      </c>
      <c r="N89" s="10"/>
      <c r="R89" s="2"/>
    </row>
    <row r="90" spans="1:18" ht="15.75" customHeight="1" thickBot="1" x14ac:dyDescent="0.3">
      <c r="A90" s="19"/>
      <c r="B90" s="45"/>
      <c r="C90" s="21"/>
      <c r="D90" s="21"/>
      <c r="E90" s="23"/>
      <c r="F90" s="21"/>
      <c r="G90" s="21"/>
      <c r="H90" s="23"/>
      <c r="I90" s="24"/>
      <c r="J90" s="24"/>
      <c r="K90" s="21"/>
      <c r="L90" s="21"/>
      <c r="M90" s="25"/>
      <c r="N90" s="10"/>
      <c r="R90" s="2"/>
    </row>
    <row r="91" spans="1:18" ht="17.45" customHeight="1" thickTop="1" thickBot="1" x14ac:dyDescent="0.3">
      <c r="A91" s="39" t="s">
        <v>14</v>
      </c>
      <c r="B91" s="52"/>
      <c r="C91" s="47">
        <f>SUM(C81:C90)</f>
        <v>1945705</v>
      </c>
      <c r="D91" s="48">
        <f>SUM(D81:D90)</f>
        <v>1980885</v>
      </c>
      <c r="E91" s="284">
        <f>(+C91-D91)/D91</f>
        <v>-1.7759738702650584E-2</v>
      </c>
      <c r="F91" s="48">
        <f>SUM(F81:F90)</f>
        <v>972562</v>
      </c>
      <c r="G91" s="47">
        <f>SUM(G81:G90)</f>
        <v>1001587</v>
      </c>
      <c r="H91" s="53">
        <f>(+F91-G91)/G91</f>
        <v>-2.8979010310637019E-2</v>
      </c>
      <c r="I91" s="51">
        <f>K91/C91</f>
        <v>29.854967937071653</v>
      </c>
      <c r="J91" s="50">
        <f>K91/F91</f>
        <v>59.727770969871329</v>
      </c>
      <c r="K91" s="47">
        <f>SUM(K81:K90)</f>
        <v>58088960.390000001</v>
      </c>
      <c r="L91" s="48">
        <f>SUM(L81:L90)</f>
        <v>56506099.889999993</v>
      </c>
      <c r="M91" s="44">
        <f>(+K91-L91)/L91</f>
        <v>2.8012205816387085E-2</v>
      </c>
      <c r="N91" s="10"/>
      <c r="R91" s="2"/>
    </row>
    <row r="92" spans="1:18" ht="15.75" customHeight="1" thickTop="1" x14ac:dyDescent="0.25">
      <c r="A92" s="19"/>
      <c r="B92" s="45"/>
      <c r="C92" s="21"/>
      <c r="D92" s="21"/>
      <c r="E92" s="23"/>
      <c r="F92" s="21"/>
      <c r="G92" s="21"/>
      <c r="H92" s="23"/>
      <c r="I92" s="24"/>
      <c r="J92" s="24"/>
      <c r="K92" s="21"/>
      <c r="L92" s="21"/>
      <c r="M92" s="25"/>
      <c r="N92" s="10"/>
      <c r="R92" s="2"/>
    </row>
    <row r="93" spans="1:18" ht="15.75" customHeight="1" x14ac:dyDescent="0.25">
      <c r="A93" s="19" t="s">
        <v>69</v>
      </c>
      <c r="B93" s="20">
        <f>DATE(2014,7,1)</f>
        <v>41821</v>
      </c>
      <c r="C93" s="21">
        <v>381777</v>
      </c>
      <c r="D93" s="21">
        <v>376879</v>
      </c>
      <c r="E93" s="23">
        <f t="shared" ref="E93:E101" si="35">(+C93-D93)/D93</f>
        <v>1.2996213638860218E-2</v>
      </c>
      <c r="F93" s="21">
        <f>+C93-188816</f>
        <v>192961</v>
      </c>
      <c r="G93" s="21">
        <f>+D93-189072</f>
        <v>187807</v>
      </c>
      <c r="H93" s="23">
        <f t="shared" ref="H93:H101" si="36">(+F93-G93)/G93</f>
        <v>2.7443066552364927E-2</v>
      </c>
      <c r="I93" s="24">
        <f t="shared" ref="I93:I101" si="37">K93/C93</f>
        <v>30.911281166754414</v>
      </c>
      <c r="J93" s="24">
        <f t="shared" ref="J93:J101" si="38">K93/F93</f>
        <v>61.158556340400388</v>
      </c>
      <c r="K93" s="21">
        <v>11801216.189999999</v>
      </c>
      <c r="L93" s="21">
        <v>11369007.65</v>
      </c>
      <c r="M93" s="25">
        <f t="shared" ref="M93:M101" si="39">(+K93-L93)/L93</f>
        <v>3.8016382194975398E-2</v>
      </c>
      <c r="N93" s="10"/>
      <c r="R93" s="2"/>
    </row>
    <row r="94" spans="1:18" ht="15.75" customHeight="1" x14ac:dyDescent="0.25">
      <c r="A94" s="19"/>
      <c r="B94" s="20">
        <f>DATE(2014,8,1)</f>
        <v>41852</v>
      </c>
      <c r="C94" s="21">
        <v>398587</v>
      </c>
      <c r="D94" s="21">
        <v>399184</v>
      </c>
      <c r="E94" s="23">
        <f t="shared" si="35"/>
        <v>-1.4955509238847248E-3</v>
      </c>
      <c r="F94" s="21">
        <f>+C94-196528</f>
        <v>202059</v>
      </c>
      <c r="G94" s="21">
        <f>+D94-197151</f>
        <v>202033</v>
      </c>
      <c r="H94" s="23">
        <f t="shared" si="36"/>
        <v>1.28691847371469E-4</v>
      </c>
      <c r="I94" s="24">
        <f t="shared" si="37"/>
        <v>32.283894883676588</v>
      </c>
      <c r="J94" s="24">
        <f t="shared" si="38"/>
        <v>63.684076482611516</v>
      </c>
      <c r="K94" s="21">
        <v>12867940.810000001</v>
      </c>
      <c r="L94" s="21">
        <v>12782620.550000001</v>
      </c>
      <c r="M94" s="25">
        <f t="shared" si="39"/>
        <v>6.6747080276899698E-3</v>
      </c>
      <c r="N94" s="10"/>
      <c r="R94" s="2"/>
    </row>
    <row r="95" spans="1:18" ht="15.75" customHeight="1" x14ac:dyDescent="0.25">
      <c r="A95" s="19"/>
      <c r="B95" s="20">
        <f>DATE(2014,9,1)</f>
        <v>41883</v>
      </c>
      <c r="C95" s="21">
        <v>349419</v>
      </c>
      <c r="D95" s="21">
        <v>372710</v>
      </c>
      <c r="E95" s="23">
        <f t="shared" si="35"/>
        <v>-6.2490944702315476E-2</v>
      </c>
      <c r="F95" s="21">
        <f>+C95-171468</f>
        <v>177951</v>
      </c>
      <c r="G95" s="21">
        <f>+D95-184970</f>
        <v>187740</v>
      </c>
      <c r="H95" s="23">
        <f t="shared" si="36"/>
        <v>-5.2141259188239052E-2</v>
      </c>
      <c r="I95" s="24">
        <f t="shared" si="37"/>
        <v>32.638578669162236</v>
      </c>
      <c r="J95" s="24">
        <f t="shared" si="38"/>
        <v>64.088088968311496</v>
      </c>
      <c r="K95" s="21">
        <v>11404539.52</v>
      </c>
      <c r="L95" s="21">
        <v>11827624.970000001</v>
      </c>
      <c r="M95" s="25">
        <f t="shared" si="39"/>
        <v>-3.577095579823758E-2</v>
      </c>
      <c r="N95" s="10"/>
      <c r="R95" s="2"/>
    </row>
    <row r="96" spans="1:18" ht="15.75" customHeight="1" x14ac:dyDescent="0.25">
      <c r="A96" s="19"/>
      <c r="B96" s="20">
        <f>DATE(2014,10,1)</f>
        <v>41913</v>
      </c>
      <c r="C96" s="21">
        <v>346830</v>
      </c>
      <c r="D96" s="21">
        <v>357387</v>
      </c>
      <c r="E96" s="23">
        <f t="shared" si="35"/>
        <v>-2.9539406861469501E-2</v>
      </c>
      <c r="F96" s="21">
        <f>C96-170451</f>
        <v>176379</v>
      </c>
      <c r="G96" s="21">
        <f>D96-179117</f>
        <v>178270</v>
      </c>
      <c r="H96" s="23">
        <f t="shared" si="36"/>
        <v>-1.0607505469232064E-2</v>
      </c>
      <c r="I96" s="24">
        <f t="shared" si="37"/>
        <v>33.626289882651442</v>
      </c>
      <c r="J96" s="24">
        <f t="shared" si="38"/>
        <v>66.122418882066455</v>
      </c>
      <c r="K96" s="21">
        <v>11662606.119999999</v>
      </c>
      <c r="L96" s="21">
        <v>12208855.6</v>
      </c>
      <c r="M96" s="25">
        <f t="shared" si="39"/>
        <v>-4.4742070665493044E-2</v>
      </c>
      <c r="N96" s="10"/>
      <c r="R96" s="2"/>
    </row>
    <row r="97" spans="1:18" ht="15.75" customHeight="1" x14ac:dyDescent="0.25">
      <c r="A97" s="19"/>
      <c r="B97" s="20">
        <f>DATE(2014,11,1)</f>
        <v>41944</v>
      </c>
      <c r="C97" s="21">
        <v>318650</v>
      </c>
      <c r="D97" s="22">
        <v>379613</v>
      </c>
      <c r="E97" s="23">
        <f t="shared" si="35"/>
        <v>-0.16059249814943113</v>
      </c>
      <c r="F97" s="21">
        <f>C97-161543</f>
        <v>157107</v>
      </c>
      <c r="G97" s="21">
        <f>D97-192885</f>
        <v>186728</v>
      </c>
      <c r="H97" s="23">
        <f t="shared" si="36"/>
        <v>-0.15863180669208687</v>
      </c>
      <c r="I97" s="24">
        <f t="shared" si="37"/>
        <v>33.54413830221246</v>
      </c>
      <c r="J97" s="24">
        <f t="shared" si="38"/>
        <v>68.035413253387816</v>
      </c>
      <c r="K97" s="21">
        <v>10688839.67</v>
      </c>
      <c r="L97" s="21">
        <v>11314882.890000001</v>
      </c>
      <c r="M97" s="25">
        <f t="shared" si="39"/>
        <v>-5.5329182465802845E-2</v>
      </c>
      <c r="N97" s="10"/>
      <c r="R97" s="2"/>
    </row>
    <row r="98" spans="1:18" ht="15.75" customHeight="1" x14ac:dyDescent="0.25">
      <c r="A98" s="19"/>
      <c r="B98" s="20">
        <f>DATE(2014,12,1)</f>
        <v>41974</v>
      </c>
      <c r="C98" s="21">
        <v>309857</v>
      </c>
      <c r="D98" s="22">
        <v>363921</v>
      </c>
      <c r="E98" s="23">
        <f t="shared" si="35"/>
        <v>-0.14855971488317518</v>
      </c>
      <c r="F98" s="21">
        <f>+C98-156318</f>
        <v>153539</v>
      </c>
      <c r="G98" s="21">
        <f>+D98-187467</f>
        <v>176454</v>
      </c>
      <c r="H98" s="23">
        <f t="shared" si="36"/>
        <v>-0.12986387387081053</v>
      </c>
      <c r="I98" s="24">
        <f t="shared" si="37"/>
        <v>32.939977473479701</v>
      </c>
      <c r="J98" s="24">
        <f t="shared" si="38"/>
        <v>66.47615654654517</v>
      </c>
      <c r="K98" s="21">
        <v>10206682.6</v>
      </c>
      <c r="L98" s="21">
        <v>12076203.59</v>
      </c>
      <c r="M98" s="25">
        <f t="shared" si="39"/>
        <v>-0.15481032396208552</v>
      </c>
      <c r="N98" s="10"/>
      <c r="R98" s="2"/>
    </row>
    <row r="99" spans="1:18" ht="15.75" customHeight="1" x14ac:dyDescent="0.25">
      <c r="A99" s="19"/>
      <c r="B99" s="20">
        <f>DATE(2015,1,1)</f>
        <v>42005</v>
      </c>
      <c r="C99" s="21">
        <v>294458</v>
      </c>
      <c r="D99" s="22">
        <v>329681</v>
      </c>
      <c r="E99" s="23">
        <f t="shared" si="35"/>
        <v>-0.106839641956922</v>
      </c>
      <c r="F99" s="21">
        <f>+C99-151506</f>
        <v>142952</v>
      </c>
      <c r="G99" s="21">
        <f>+D99-172089</f>
        <v>157592</v>
      </c>
      <c r="H99" s="23">
        <f t="shared" si="36"/>
        <v>-9.2898116655667801E-2</v>
      </c>
      <c r="I99" s="24">
        <f t="shared" si="37"/>
        <v>35.828379123678076</v>
      </c>
      <c r="J99" s="24">
        <f t="shared" si="38"/>
        <v>73.800666377525317</v>
      </c>
      <c r="K99" s="21">
        <v>10549952.859999999</v>
      </c>
      <c r="L99" s="21">
        <v>10328332.359999999</v>
      </c>
      <c r="M99" s="25">
        <f t="shared" si="39"/>
        <v>2.1457529858189033E-2</v>
      </c>
      <c r="N99" s="10"/>
      <c r="R99" s="2"/>
    </row>
    <row r="100" spans="1:18" ht="15.75" customHeight="1" x14ac:dyDescent="0.25">
      <c r="A100" s="19"/>
      <c r="B100" s="20">
        <f>DATE(2015,2,1)</f>
        <v>42036</v>
      </c>
      <c r="C100" s="21">
        <v>336332</v>
      </c>
      <c r="D100" s="22">
        <v>374288</v>
      </c>
      <c r="E100" s="23">
        <f t="shared" si="35"/>
        <v>-0.10140854101654341</v>
      </c>
      <c r="F100" s="21">
        <f>+C100-177545</f>
        <v>158787</v>
      </c>
      <c r="G100" s="21">
        <f>+D100-195787</f>
        <v>178501</v>
      </c>
      <c r="H100" s="23">
        <f t="shared" si="36"/>
        <v>-0.11044195830835682</v>
      </c>
      <c r="I100" s="24">
        <f t="shared" si="37"/>
        <v>33.971234167429806</v>
      </c>
      <c r="J100" s="24">
        <f t="shared" si="38"/>
        <v>71.955595420280005</v>
      </c>
      <c r="K100" s="21">
        <v>11425613.130000001</v>
      </c>
      <c r="L100" s="21">
        <v>12271260.529999999</v>
      </c>
      <c r="M100" s="25">
        <f t="shared" si="39"/>
        <v>-6.8912838899688703E-2</v>
      </c>
      <c r="N100" s="10"/>
      <c r="R100" s="2"/>
    </row>
    <row r="101" spans="1:18" ht="15.75" customHeight="1" x14ac:dyDescent="0.25">
      <c r="A101" s="19"/>
      <c r="B101" s="20">
        <f>DATE(2015,3,1)</f>
        <v>42064</v>
      </c>
      <c r="C101" s="21">
        <v>343952</v>
      </c>
      <c r="D101" s="22">
        <v>435105</v>
      </c>
      <c r="E101" s="23">
        <f t="shared" si="35"/>
        <v>-0.20949655830201905</v>
      </c>
      <c r="F101" s="21">
        <f>+C101-174544</f>
        <v>169408</v>
      </c>
      <c r="G101" s="21">
        <f>+D101-229636</f>
        <v>205469</v>
      </c>
      <c r="H101" s="23">
        <f t="shared" si="36"/>
        <v>-0.17550579406139125</v>
      </c>
      <c r="I101" s="24">
        <f t="shared" si="37"/>
        <v>35.66457488254175</v>
      </c>
      <c r="J101" s="24">
        <f t="shared" si="38"/>
        <v>72.41040482149603</v>
      </c>
      <c r="K101" s="21">
        <v>12266901.859999999</v>
      </c>
      <c r="L101" s="21">
        <v>13101249.26</v>
      </c>
      <c r="M101" s="25">
        <f t="shared" si="39"/>
        <v>-6.368456804706274E-2</v>
      </c>
      <c r="N101" s="10"/>
      <c r="R101" s="2"/>
    </row>
    <row r="102" spans="1:18" ht="15.75" customHeight="1" thickBot="1" x14ac:dyDescent="0.3">
      <c r="A102" s="19"/>
      <c r="B102" s="45"/>
      <c r="C102" s="21"/>
      <c r="D102" s="21"/>
      <c r="E102" s="23"/>
      <c r="F102" s="21"/>
      <c r="G102" s="21"/>
      <c r="H102" s="23"/>
      <c r="I102" s="24"/>
      <c r="J102" s="24"/>
      <c r="K102" s="21"/>
      <c r="L102" s="21"/>
      <c r="M102" s="25"/>
      <c r="N102" s="10"/>
      <c r="R102" s="2"/>
    </row>
    <row r="103" spans="1:18" ht="17.25" thickTop="1" thickBot="1" x14ac:dyDescent="0.3">
      <c r="A103" s="39" t="s">
        <v>14</v>
      </c>
      <c r="B103" s="40"/>
      <c r="C103" s="41">
        <f>SUM(C93:C102)</f>
        <v>3079862</v>
      </c>
      <c r="D103" s="41">
        <f>SUM(D93:D102)</f>
        <v>3388768</v>
      </c>
      <c r="E103" s="283">
        <f>(+C103-D103)/D103</f>
        <v>-9.115584188708109E-2</v>
      </c>
      <c r="F103" s="41">
        <f>SUM(F93:F102)</f>
        <v>1531143</v>
      </c>
      <c r="G103" s="41">
        <f>SUM(G93:G102)</f>
        <v>1660594</v>
      </c>
      <c r="H103" s="42">
        <f>(+F103-G103)/G103</f>
        <v>-7.7954635509944026E-2</v>
      </c>
      <c r="I103" s="43">
        <f>K103/C103</f>
        <v>33.402240996512177</v>
      </c>
      <c r="J103" s="43">
        <f>K103/F103</f>
        <v>67.187906524733478</v>
      </c>
      <c r="K103" s="41">
        <f>SUM(K93:K102)</f>
        <v>102874292.75999999</v>
      </c>
      <c r="L103" s="41">
        <f>SUM(L93:L102)</f>
        <v>107280037.40000001</v>
      </c>
      <c r="M103" s="44">
        <f>(+K103-L103)/L103</f>
        <v>-4.106770231234106E-2</v>
      </c>
      <c r="N103" s="10"/>
      <c r="R103" s="2"/>
    </row>
    <row r="104" spans="1:18" ht="15.75" customHeight="1" thickTop="1" x14ac:dyDescent="0.2">
      <c r="A104" s="54"/>
      <c r="B104" s="55"/>
      <c r="C104" s="55"/>
      <c r="D104" s="55"/>
      <c r="E104" s="56"/>
      <c r="F104" s="55"/>
      <c r="G104" s="55"/>
      <c r="H104" s="56"/>
      <c r="I104" s="55"/>
      <c r="J104" s="55"/>
      <c r="K104" s="196"/>
      <c r="L104" s="196"/>
      <c r="M104" s="57"/>
      <c r="N104" s="10"/>
      <c r="R104" s="2"/>
    </row>
    <row r="105" spans="1:18" ht="15.75" customHeight="1" x14ac:dyDescent="0.25">
      <c r="A105" s="19" t="s">
        <v>18</v>
      </c>
      <c r="B105" s="20">
        <f>DATE(2014,7,1)</f>
        <v>41821</v>
      </c>
      <c r="C105" s="21">
        <v>513388</v>
      </c>
      <c r="D105" s="21">
        <v>502822</v>
      </c>
      <c r="E105" s="23">
        <f t="shared" ref="E105:E113" si="40">(+C105-D105)/D105</f>
        <v>2.1013400368321195E-2</v>
      </c>
      <c r="F105" s="21">
        <f>+C105-254695</f>
        <v>258693</v>
      </c>
      <c r="G105" s="21">
        <f>+D105-253388</f>
        <v>249434</v>
      </c>
      <c r="H105" s="23">
        <f t="shared" ref="H105:H113" si="41">(+F105-G105)/G105</f>
        <v>3.7120039770039366E-2</v>
      </c>
      <c r="I105" s="24">
        <f t="shared" ref="I105:I113" si="42">K105/C105</f>
        <v>33.672828659805063</v>
      </c>
      <c r="J105" s="24">
        <f t="shared" ref="J105:J113" si="43">K105/F105</f>
        <v>66.825256810195867</v>
      </c>
      <c r="K105" s="21">
        <v>17287226.16</v>
      </c>
      <c r="L105" s="21">
        <v>17263520.77</v>
      </c>
      <c r="M105" s="25">
        <f t="shared" ref="M105:M113" si="44">(+K105-L105)/L105</f>
        <v>1.3731492153787699E-3</v>
      </c>
      <c r="N105" s="10"/>
      <c r="R105" s="2"/>
    </row>
    <row r="106" spans="1:18" ht="15.75" customHeight="1" x14ac:dyDescent="0.25">
      <c r="A106" s="19"/>
      <c r="B106" s="20">
        <f>DATE(2014,8,1)</f>
        <v>41852</v>
      </c>
      <c r="C106" s="21">
        <v>503846</v>
      </c>
      <c r="D106" s="21">
        <v>566727</v>
      </c>
      <c r="E106" s="23">
        <f t="shared" si="40"/>
        <v>-0.11095465718061782</v>
      </c>
      <c r="F106" s="21">
        <f>+C106-249972</f>
        <v>253874</v>
      </c>
      <c r="G106" s="21">
        <f>+D106-280832</f>
        <v>285895</v>
      </c>
      <c r="H106" s="23">
        <f t="shared" si="41"/>
        <v>-0.11200265831861347</v>
      </c>
      <c r="I106" s="24">
        <f t="shared" si="42"/>
        <v>34.779016247027862</v>
      </c>
      <c r="J106" s="24">
        <f t="shared" si="43"/>
        <v>69.023484957104699</v>
      </c>
      <c r="K106" s="21">
        <v>17523268.219999999</v>
      </c>
      <c r="L106" s="21">
        <v>18011496.300000001</v>
      </c>
      <c r="M106" s="25">
        <f t="shared" si="44"/>
        <v>-2.7106469771753607E-2</v>
      </c>
      <c r="N106" s="10"/>
      <c r="R106" s="2"/>
    </row>
    <row r="107" spans="1:18" ht="15.75" customHeight="1" x14ac:dyDescent="0.25">
      <c r="A107" s="19"/>
      <c r="B107" s="20">
        <f>DATE(2014,9,1)</f>
        <v>41883</v>
      </c>
      <c r="C107" s="21">
        <v>423883</v>
      </c>
      <c r="D107" s="21">
        <v>471960</v>
      </c>
      <c r="E107" s="23">
        <f t="shared" si="40"/>
        <v>-0.1018666836172557</v>
      </c>
      <c r="F107" s="21">
        <f>+C107-210874</f>
        <v>213009</v>
      </c>
      <c r="G107" s="21">
        <f>+D107-238969</f>
        <v>232991</v>
      </c>
      <c r="H107" s="23">
        <f t="shared" si="41"/>
        <v>-8.5762969385083543E-2</v>
      </c>
      <c r="I107" s="24">
        <f t="shared" si="42"/>
        <v>34.683083280056053</v>
      </c>
      <c r="J107" s="24">
        <f t="shared" si="43"/>
        <v>69.018536259031308</v>
      </c>
      <c r="K107" s="21">
        <v>14701569.390000001</v>
      </c>
      <c r="L107" s="21">
        <v>15867099.529999999</v>
      </c>
      <c r="M107" s="25">
        <f t="shared" si="44"/>
        <v>-7.3455777963472496E-2</v>
      </c>
      <c r="N107" s="10"/>
      <c r="R107" s="2"/>
    </row>
    <row r="108" spans="1:18" ht="15.75" customHeight="1" x14ac:dyDescent="0.25">
      <c r="A108" s="19"/>
      <c r="B108" s="20">
        <f>DATE(2014,10,1)</f>
        <v>41913</v>
      </c>
      <c r="C108" s="21">
        <v>423551</v>
      </c>
      <c r="D108" s="21">
        <v>458275</v>
      </c>
      <c r="E108" s="23">
        <f t="shared" si="40"/>
        <v>-7.5771098139763238E-2</v>
      </c>
      <c r="F108" s="21">
        <f>C108-214777</f>
        <v>208774</v>
      </c>
      <c r="G108" s="21">
        <f>D108-236826</f>
        <v>221449</v>
      </c>
      <c r="H108" s="23">
        <f t="shared" si="41"/>
        <v>-5.7236654940866744E-2</v>
      </c>
      <c r="I108" s="24">
        <f t="shared" si="42"/>
        <v>37.363248676074427</v>
      </c>
      <c r="J108" s="24">
        <f t="shared" si="43"/>
        <v>75.800824527958468</v>
      </c>
      <c r="K108" s="21">
        <v>15825241.34</v>
      </c>
      <c r="L108" s="21">
        <v>16174223.640000001</v>
      </c>
      <c r="M108" s="25">
        <f t="shared" si="44"/>
        <v>-2.1576448290039889E-2</v>
      </c>
      <c r="N108" s="10"/>
      <c r="R108" s="2"/>
    </row>
    <row r="109" spans="1:18" ht="15.75" customHeight="1" x14ac:dyDescent="0.25">
      <c r="A109" s="19"/>
      <c r="B109" s="20">
        <f>DATE(2014,11,1)</f>
        <v>41944</v>
      </c>
      <c r="C109" s="21">
        <v>431949</v>
      </c>
      <c r="D109" s="22">
        <v>484130</v>
      </c>
      <c r="E109" s="23">
        <f t="shared" si="40"/>
        <v>-0.10778303348274224</v>
      </c>
      <c r="F109" s="21">
        <f>C109-216466</f>
        <v>215483</v>
      </c>
      <c r="G109" s="21">
        <f>D109-250719</f>
        <v>233411</v>
      </c>
      <c r="H109" s="23">
        <f t="shared" si="41"/>
        <v>-7.6808719383405236E-2</v>
      </c>
      <c r="I109" s="24">
        <f t="shared" si="42"/>
        <v>33.962604844553404</v>
      </c>
      <c r="J109" s="24">
        <f t="shared" si="43"/>
        <v>68.080141820932511</v>
      </c>
      <c r="K109" s="21">
        <v>14670113.199999999</v>
      </c>
      <c r="L109" s="21">
        <v>16428973.720000001</v>
      </c>
      <c r="M109" s="25">
        <f t="shared" si="44"/>
        <v>-0.1070584535574996</v>
      </c>
      <c r="N109" s="10"/>
      <c r="R109" s="2"/>
    </row>
    <row r="110" spans="1:18" ht="15.75" customHeight="1" x14ac:dyDescent="0.25">
      <c r="A110" s="19"/>
      <c r="B110" s="20">
        <f>DATE(2014,12,1)</f>
        <v>41974</v>
      </c>
      <c r="C110" s="21">
        <v>445795</v>
      </c>
      <c r="D110" s="22">
        <v>463390</v>
      </c>
      <c r="E110" s="23">
        <f t="shared" si="40"/>
        <v>-3.7970176309372237E-2</v>
      </c>
      <c r="F110" s="21">
        <f>+C110-226584</f>
        <v>219211</v>
      </c>
      <c r="G110" s="21">
        <f>+D110-242237</f>
        <v>221153</v>
      </c>
      <c r="H110" s="23">
        <f t="shared" si="41"/>
        <v>-8.7812509891342198E-3</v>
      </c>
      <c r="I110" s="24">
        <f t="shared" si="42"/>
        <v>35.053300395921895</v>
      </c>
      <c r="J110" s="24">
        <f t="shared" si="43"/>
        <v>71.285592648179161</v>
      </c>
      <c r="K110" s="21">
        <v>15626586.050000001</v>
      </c>
      <c r="L110" s="21">
        <v>15720482.82</v>
      </c>
      <c r="M110" s="25">
        <f t="shared" si="44"/>
        <v>-5.9728935221087277E-3</v>
      </c>
      <c r="N110" s="10"/>
      <c r="R110" s="2"/>
    </row>
    <row r="111" spans="1:18" ht="15.75" customHeight="1" x14ac:dyDescent="0.25">
      <c r="A111" s="19"/>
      <c r="B111" s="20">
        <f>DATE(2015,1,1)</f>
        <v>42005</v>
      </c>
      <c r="C111" s="21">
        <v>462891</v>
      </c>
      <c r="D111" s="22">
        <v>451857</v>
      </c>
      <c r="E111" s="23">
        <f t="shared" si="40"/>
        <v>2.4419229977625665E-2</v>
      </c>
      <c r="F111" s="21">
        <f>+C111-240966</f>
        <v>221925</v>
      </c>
      <c r="G111" s="21">
        <f>+D111-236713</f>
        <v>215144</v>
      </c>
      <c r="H111" s="23">
        <f t="shared" si="41"/>
        <v>3.1518424868924998E-2</v>
      </c>
      <c r="I111" s="24">
        <f t="shared" si="42"/>
        <v>35.367727413149105</v>
      </c>
      <c r="J111" s="24">
        <f t="shared" si="43"/>
        <v>73.769979542638282</v>
      </c>
      <c r="K111" s="21">
        <v>16371402.710000001</v>
      </c>
      <c r="L111" s="21">
        <v>15217702.109999999</v>
      </c>
      <c r="M111" s="25">
        <f t="shared" si="44"/>
        <v>7.5813062422996888E-2</v>
      </c>
      <c r="N111" s="10"/>
      <c r="R111" s="2"/>
    </row>
    <row r="112" spans="1:18" ht="15.75" customHeight="1" x14ac:dyDescent="0.25">
      <c r="A112" s="19"/>
      <c r="B112" s="20">
        <f>DATE(2015,2,1)</f>
        <v>42036</v>
      </c>
      <c r="C112" s="21">
        <v>454077</v>
      </c>
      <c r="D112" s="22">
        <v>479368</v>
      </c>
      <c r="E112" s="23">
        <f t="shared" si="40"/>
        <v>-5.2759049415063167E-2</v>
      </c>
      <c r="F112" s="21">
        <f>+C112-235409</f>
        <v>218668</v>
      </c>
      <c r="G112" s="21">
        <f>+D112-254287</f>
        <v>225081</v>
      </c>
      <c r="H112" s="23">
        <f t="shared" si="41"/>
        <v>-2.8491965114780901E-2</v>
      </c>
      <c r="I112" s="24">
        <f t="shared" si="42"/>
        <v>34.974910664931279</v>
      </c>
      <c r="J112" s="24">
        <f t="shared" si="43"/>
        <v>72.627464969725793</v>
      </c>
      <c r="K112" s="21">
        <v>15881302.51</v>
      </c>
      <c r="L112" s="21">
        <v>15946592.050000001</v>
      </c>
      <c r="M112" s="25">
        <f t="shared" si="44"/>
        <v>-4.0942628867213652E-3</v>
      </c>
      <c r="N112" s="10"/>
      <c r="R112" s="2"/>
    </row>
    <row r="113" spans="1:18" ht="15.75" customHeight="1" x14ac:dyDescent="0.25">
      <c r="A113" s="19"/>
      <c r="B113" s="20">
        <f>DATE(2015,3,1)</f>
        <v>42064</v>
      </c>
      <c r="C113" s="21">
        <v>492615</v>
      </c>
      <c r="D113" s="22">
        <v>503197</v>
      </c>
      <c r="E113" s="23">
        <f t="shared" si="40"/>
        <v>-2.1029537139529847E-2</v>
      </c>
      <c r="F113" s="21">
        <f>+C113-252742</f>
        <v>239873</v>
      </c>
      <c r="G113" s="21">
        <f>+D113-260557</f>
        <v>242640</v>
      </c>
      <c r="H113" s="23">
        <f t="shared" si="41"/>
        <v>-1.1403725684141115E-2</v>
      </c>
      <c r="I113" s="24">
        <f t="shared" si="42"/>
        <v>36.484055804228454</v>
      </c>
      <c r="J113" s="24">
        <f t="shared" si="43"/>
        <v>74.925452843796506</v>
      </c>
      <c r="K113" s="21">
        <v>17972593.149999999</v>
      </c>
      <c r="L113" s="21">
        <v>17594079.850000001</v>
      </c>
      <c r="M113" s="25">
        <f t="shared" si="44"/>
        <v>2.1513674101007164E-2</v>
      </c>
      <c r="N113" s="10"/>
      <c r="R113" s="2"/>
    </row>
    <row r="114" spans="1:18" ht="15.75" customHeight="1" thickBot="1" x14ac:dyDescent="0.3">
      <c r="A114" s="19"/>
      <c r="B114" s="45"/>
      <c r="C114" s="21"/>
      <c r="D114" s="21"/>
      <c r="E114" s="23"/>
      <c r="F114" s="21"/>
      <c r="G114" s="21"/>
      <c r="H114" s="23"/>
      <c r="I114" s="24"/>
      <c r="J114" s="24"/>
      <c r="K114" s="21"/>
      <c r="L114" s="21"/>
      <c r="M114" s="25"/>
      <c r="N114" s="10"/>
      <c r="R114" s="2"/>
    </row>
    <row r="115" spans="1:18" ht="17.25" thickTop="1" thickBot="1" x14ac:dyDescent="0.3">
      <c r="A115" s="39" t="s">
        <v>14</v>
      </c>
      <c r="B115" s="40"/>
      <c r="C115" s="41">
        <f>SUM(C105:C114)</f>
        <v>4151995</v>
      </c>
      <c r="D115" s="41">
        <f>SUM(D105:D114)</f>
        <v>4381726</v>
      </c>
      <c r="E115" s="283">
        <f>(+C115-D115)/D115</f>
        <v>-5.2429339488594219E-2</v>
      </c>
      <c r="F115" s="41">
        <f>SUM(F105:F114)</f>
        <v>2049510</v>
      </c>
      <c r="G115" s="41">
        <f>SUM(G105:G114)</f>
        <v>2127198</v>
      </c>
      <c r="H115" s="42">
        <f>(+F115-G115)/G115</f>
        <v>-3.6521282927118211E-2</v>
      </c>
      <c r="I115" s="43">
        <f>K115/C115</f>
        <v>35.129932172365329</v>
      </c>
      <c r="J115" s="43">
        <f>K115/F115</f>
        <v>71.167890242057851</v>
      </c>
      <c r="K115" s="41">
        <f>SUM(K105:K114)</f>
        <v>145859302.72999999</v>
      </c>
      <c r="L115" s="41">
        <f>SUM(L105:L114)</f>
        <v>148224170.78999999</v>
      </c>
      <c r="M115" s="44">
        <f>(+K115-L115)/L115</f>
        <v>-1.5954672219758839E-2</v>
      </c>
      <c r="N115" s="10"/>
      <c r="R115" s="2"/>
    </row>
    <row r="116" spans="1:18" ht="15.75" customHeight="1" thickTop="1" x14ac:dyDescent="0.2">
      <c r="A116" s="54"/>
      <c r="B116" s="55"/>
      <c r="C116" s="55"/>
      <c r="D116" s="55"/>
      <c r="E116" s="56"/>
      <c r="F116" s="55"/>
      <c r="G116" s="55"/>
      <c r="H116" s="56"/>
      <c r="I116" s="55"/>
      <c r="J116" s="55"/>
      <c r="K116" s="196"/>
      <c r="L116" s="196"/>
      <c r="M116" s="57"/>
      <c r="N116" s="10"/>
      <c r="R116" s="2"/>
    </row>
    <row r="117" spans="1:18" ht="15.75" customHeight="1" x14ac:dyDescent="0.25">
      <c r="A117" s="19" t="s">
        <v>58</v>
      </c>
      <c r="B117" s="20">
        <f>DATE(2014,7,1)</f>
        <v>41821</v>
      </c>
      <c r="C117" s="21">
        <v>498239</v>
      </c>
      <c r="D117" s="21">
        <v>478335</v>
      </c>
      <c r="E117" s="23">
        <f t="shared" ref="E117:E125" si="45">(+C117-D117)/D117</f>
        <v>4.1611004839704389E-2</v>
      </c>
      <c r="F117" s="21">
        <f>+C117-242414</f>
        <v>255825</v>
      </c>
      <c r="G117" s="21">
        <f>+D117-233675</f>
        <v>244660</v>
      </c>
      <c r="H117" s="23">
        <f t="shared" ref="H117:H125" si="46">(+F117-G117)/G117</f>
        <v>4.5634758440284473E-2</v>
      </c>
      <c r="I117" s="24">
        <f t="shared" ref="I117:I125" si="47">K117/C117</f>
        <v>35.603950212648954</v>
      </c>
      <c r="J117" s="24">
        <f t="shared" ref="J117:J125" si="48">K117/F117</f>
        <v>69.341450405550674</v>
      </c>
      <c r="K117" s="21">
        <v>17739276.550000001</v>
      </c>
      <c r="L117" s="21">
        <v>16395076.560000001</v>
      </c>
      <c r="M117" s="25">
        <f t="shared" ref="M117:M125" si="49">(+K117-L117)/L117</f>
        <v>8.1988027630168034E-2</v>
      </c>
      <c r="N117" s="10"/>
      <c r="R117" s="2"/>
    </row>
    <row r="118" spans="1:18" ht="15.75" customHeight="1" x14ac:dyDescent="0.25">
      <c r="A118" s="19"/>
      <c r="B118" s="20">
        <f>DATE(2014,8,1)</f>
        <v>41852</v>
      </c>
      <c r="C118" s="21">
        <v>548272</v>
      </c>
      <c r="D118" s="21">
        <v>529390</v>
      </c>
      <c r="E118" s="23">
        <f t="shared" si="45"/>
        <v>3.566746632917131E-2</v>
      </c>
      <c r="F118" s="21">
        <f>+C118-270985</f>
        <v>277287</v>
      </c>
      <c r="G118" s="21">
        <f>+D118-256440</f>
        <v>272950</v>
      </c>
      <c r="H118" s="23">
        <f t="shared" si="46"/>
        <v>1.5889357025096171E-2</v>
      </c>
      <c r="I118" s="24">
        <f t="shared" si="47"/>
        <v>34.533286890448537</v>
      </c>
      <c r="J118" s="24">
        <f t="shared" si="48"/>
        <v>68.281723521117115</v>
      </c>
      <c r="K118" s="21">
        <v>18933634.27</v>
      </c>
      <c r="L118" s="21">
        <v>18161372.559999999</v>
      </c>
      <c r="M118" s="25">
        <f t="shared" si="49"/>
        <v>4.2522210667099547E-2</v>
      </c>
      <c r="N118" s="10"/>
      <c r="R118" s="2"/>
    </row>
    <row r="119" spans="1:18" ht="15.75" customHeight="1" x14ac:dyDescent="0.25">
      <c r="A119" s="19"/>
      <c r="B119" s="20">
        <f>DATE(2014,9,1)</f>
        <v>41883</v>
      </c>
      <c r="C119" s="21">
        <v>462127</v>
      </c>
      <c r="D119" s="21">
        <v>505814</v>
      </c>
      <c r="E119" s="23">
        <f t="shared" si="45"/>
        <v>-8.6369693207384537E-2</v>
      </c>
      <c r="F119" s="21">
        <f>+C119-224687</f>
        <v>237440</v>
      </c>
      <c r="G119" s="21">
        <f>+D119-247916</f>
        <v>257898</v>
      </c>
      <c r="H119" s="23">
        <f t="shared" si="46"/>
        <v>-7.9325935059597202E-2</v>
      </c>
      <c r="I119" s="24">
        <f t="shared" si="47"/>
        <v>36.104868055750906</v>
      </c>
      <c r="J119" s="24">
        <f t="shared" si="48"/>
        <v>70.270528807277628</v>
      </c>
      <c r="K119" s="21">
        <v>16685034.359999999</v>
      </c>
      <c r="L119" s="21">
        <v>17139972.219999999</v>
      </c>
      <c r="M119" s="25">
        <f t="shared" si="49"/>
        <v>-2.6542508596901299E-2</v>
      </c>
      <c r="N119" s="10"/>
      <c r="R119" s="2"/>
    </row>
    <row r="120" spans="1:18" ht="15.75" customHeight="1" x14ac:dyDescent="0.25">
      <c r="A120" s="19"/>
      <c r="B120" s="20">
        <f>DATE(2014,10,1)</f>
        <v>41913</v>
      </c>
      <c r="C120" s="21">
        <v>489378</v>
      </c>
      <c r="D120" s="21">
        <v>489334</v>
      </c>
      <c r="E120" s="23">
        <f t="shared" si="45"/>
        <v>8.9918133626520943E-5</v>
      </c>
      <c r="F120" s="21">
        <f>C120-239568</f>
        <v>249810</v>
      </c>
      <c r="G120" s="21">
        <f>D120-235323</f>
        <v>254011</v>
      </c>
      <c r="H120" s="23">
        <f t="shared" si="46"/>
        <v>-1.653865383782592E-2</v>
      </c>
      <c r="I120" s="24">
        <f t="shared" si="47"/>
        <v>34.927663932583812</v>
      </c>
      <c r="J120" s="24">
        <f t="shared" si="48"/>
        <v>68.423323005484164</v>
      </c>
      <c r="K120" s="21">
        <v>17092830.32</v>
      </c>
      <c r="L120" s="21">
        <v>16816245.170000002</v>
      </c>
      <c r="M120" s="25">
        <f t="shared" si="49"/>
        <v>1.6447497476631906E-2</v>
      </c>
      <c r="N120" s="10"/>
      <c r="R120" s="2"/>
    </row>
    <row r="121" spans="1:18" ht="15.75" customHeight="1" x14ac:dyDescent="0.25">
      <c r="A121" s="19"/>
      <c r="B121" s="20">
        <f>DATE(2014,11,1)</f>
        <v>41944</v>
      </c>
      <c r="C121" s="21">
        <v>484212</v>
      </c>
      <c r="D121" s="22">
        <v>523143</v>
      </c>
      <c r="E121" s="23">
        <f t="shared" si="45"/>
        <v>-7.4417511082055951E-2</v>
      </c>
      <c r="F121" s="21">
        <f>C121-233247</f>
        <v>250965</v>
      </c>
      <c r="G121" s="21">
        <f>D121-256054</f>
        <v>267089</v>
      </c>
      <c r="H121" s="23">
        <f t="shared" si="46"/>
        <v>-6.036938997862136E-2</v>
      </c>
      <c r="I121" s="24">
        <f t="shared" si="47"/>
        <v>35.776316964470105</v>
      </c>
      <c r="J121" s="24">
        <f t="shared" si="48"/>
        <v>69.026844340844335</v>
      </c>
      <c r="K121" s="21">
        <v>17323321.989999998</v>
      </c>
      <c r="L121" s="21">
        <v>18598301.390000001</v>
      </c>
      <c r="M121" s="25">
        <f t="shared" si="49"/>
        <v>-6.8553540092942983E-2</v>
      </c>
      <c r="N121" s="10"/>
      <c r="R121" s="2"/>
    </row>
    <row r="122" spans="1:18" ht="15.75" customHeight="1" x14ac:dyDescent="0.25">
      <c r="A122" s="19"/>
      <c r="B122" s="20">
        <f>DATE(2014,12,1)</f>
        <v>41974</v>
      </c>
      <c r="C122" s="21">
        <v>492618</v>
      </c>
      <c r="D122" s="22">
        <v>477216</v>
      </c>
      <c r="E122" s="23">
        <f t="shared" si="45"/>
        <v>3.2274693220679947E-2</v>
      </c>
      <c r="F122" s="21">
        <f>+C122-245125</f>
        <v>247493</v>
      </c>
      <c r="G122" s="21">
        <f>+D122-237172</f>
        <v>240044</v>
      </c>
      <c r="H122" s="23">
        <f t="shared" si="46"/>
        <v>3.1031810834680307E-2</v>
      </c>
      <c r="I122" s="24">
        <f t="shared" si="47"/>
        <v>36.045124863484489</v>
      </c>
      <c r="J122" s="24">
        <f t="shared" si="48"/>
        <v>71.745371869103366</v>
      </c>
      <c r="K122" s="21">
        <v>17756477.32</v>
      </c>
      <c r="L122" s="21">
        <v>16926558.370000001</v>
      </c>
      <c r="M122" s="25">
        <f t="shared" si="49"/>
        <v>4.9030578565275061E-2</v>
      </c>
      <c r="N122" s="10"/>
      <c r="R122" s="2"/>
    </row>
    <row r="123" spans="1:18" ht="15.75" customHeight="1" x14ac:dyDescent="0.25">
      <c r="A123" s="19"/>
      <c r="B123" s="20">
        <f>DATE(2015,1,1)</f>
        <v>42005</v>
      </c>
      <c r="C123" s="21">
        <v>498176</v>
      </c>
      <c r="D123" s="22">
        <v>461091</v>
      </c>
      <c r="E123" s="23">
        <f t="shared" si="45"/>
        <v>8.0428809063720616E-2</v>
      </c>
      <c r="F123" s="21">
        <f>+C123-252306</f>
        <v>245870</v>
      </c>
      <c r="G123" s="21">
        <f>+D123-227662</f>
        <v>233429</v>
      </c>
      <c r="H123" s="23">
        <f t="shared" si="46"/>
        <v>5.3296719773464306E-2</v>
      </c>
      <c r="I123" s="24">
        <f t="shared" si="47"/>
        <v>35.705615244411611</v>
      </c>
      <c r="J123" s="24">
        <f t="shared" si="48"/>
        <v>72.345876194737045</v>
      </c>
      <c r="K123" s="21">
        <v>17787680.579999998</v>
      </c>
      <c r="L123" s="21">
        <v>15643516.51</v>
      </c>
      <c r="M123" s="25">
        <f t="shared" si="49"/>
        <v>0.13706407179161781</v>
      </c>
      <c r="N123" s="10"/>
      <c r="R123" s="2"/>
    </row>
    <row r="124" spans="1:18" ht="15.75" customHeight="1" x14ac:dyDescent="0.25">
      <c r="A124" s="19"/>
      <c r="B124" s="20">
        <f>DATE(2015,2,1)</f>
        <v>42036</v>
      </c>
      <c r="C124" s="21">
        <v>481688</v>
      </c>
      <c r="D124" s="22">
        <v>498664</v>
      </c>
      <c r="E124" s="23">
        <f t="shared" si="45"/>
        <v>-3.4042962796592496E-2</v>
      </c>
      <c r="F124" s="21">
        <f>+C124-239002</f>
        <v>242686</v>
      </c>
      <c r="G124" s="21">
        <f>+D124-250684</f>
        <v>247980</v>
      </c>
      <c r="H124" s="23">
        <f t="shared" si="46"/>
        <v>-2.134849584643923E-2</v>
      </c>
      <c r="I124" s="24">
        <f t="shared" si="47"/>
        <v>35.454696297188221</v>
      </c>
      <c r="J124" s="24">
        <f t="shared" si="48"/>
        <v>70.371186430201988</v>
      </c>
      <c r="K124" s="21">
        <v>17078101.75</v>
      </c>
      <c r="L124" s="21">
        <v>16569386.92</v>
      </c>
      <c r="M124" s="25">
        <f t="shared" si="49"/>
        <v>3.0702091299827046E-2</v>
      </c>
      <c r="N124" s="10"/>
      <c r="R124" s="2"/>
    </row>
    <row r="125" spans="1:18" ht="15.75" customHeight="1" x14ac:dyDescent="0.25">
      <c r="A125" s="19"/>
      <c r="B125" s="20">
        <f>DATE(2015,3,1)</f>
        <v>42064</v>
      </c>
      <c r="C125" s="21">
        <v>540656</v>
      </c>
      <c r="D125" s="22">
        <v>552194</v>
      </c>
      <c r="E125" s="23">
        <f t="shared" si="45"/>
        <v>-2.0894830440026511E-2</v>
      </c>
      <c r="F125" s="21">
        <f>+C125-265478</f>
        <v>275178</v>
      </c>
      <c r="G125" s="21">
        <f>+D125-270982</f>
        <v>281212</v>
      </c>
      <c r="H125" s="23">
        <f t="shared" si="46"/>
        <v>-2.1457121317724707E-2</v>
      </c>
      <c r="I125" s="24">
        <f t="shared" si="47"/>
        <v>36.028327735195759</v>
      </c>
      <c r="J125" s="24">
        <f t="shared" si="48"/>
        <v>70.786660125446076</v>
      </c>
      <c r="K125" s="21">
        <v>19478931.559999999</v>
      </c>
      <c r="L125" s="21">
        <v>19445590</v>
      </c>
      <c r="M125" s="25">
        <f t="shared" si="49"/>
        <v>1.7146077851069913E-3</v>
      </c>
      <c r="N125" s="10"/>
      <c r="R125" s="2"/>
    </row>
    <row r="126" spans="1:18" ht="15.75" customHeight="1" thickBot="1" x14ac:dyDescent="0.3">
      <c r="A126" s="19"/>
      <c r="B126" s="45"/>
      <c r="C126" s="21"/>
      <c r="D126" s="21"/>
      <c r="E126" s="23"/>
      <c r="F126" s="21"/>
      <c r="G126" s="21"/>
      <c r="H126" s="23"/>
      <c r="I126" s="24"/>
      <c r="J126" s="24"/>
      <c r="K126" s="21"/>
      <c r="L126" s="21"/>
      <c r="M126" s="25"/>
      <c r="N126" s="10"/>
      <c r="R126" s="2"/>
    </row>
    <row r="127" spans="1:18" ht="17.25" thickTop="1" thickBot="1" x14ac:dyDescent="0.3">
      <c r="A127" s="39" t="s">
        <v>14</v>
      </c>
      <c r="B127" s="40"/>
      <c r="C127" s="41">
        <f>SUM(C117:C126)</f>
        <v>4495366</v>
      </c>
      <c r="D127" s="41">
        <f>SUM(D117:D126)</f>
        <v>4515181</v>
      </c>
      <c r="E127" s="283">
        <f>(+C127-D127)/D127</f>
        <v>-4.3885283890058892E-3</v>
      </c>
      <c r="F127" s="41">
        <f>SUM(F117:F126)</f>
        <v>2282554</v>
      </c>
      <c r="G127" s="41">
        <f>SUM(G117:G126)</f>
        <v>2299273</v>
      </c>
      <c r="H127" s="42">
        <f>(+F127-G127)/G127</f>
        <v>-7.2714288385937638E-3</v>
      </c>
      <c r="I127" s="43">
        <f>K127/C127</f>
        <v>35.564465429511188</v>
      </c>
      <c r="J127" s="43">
        <f>K127/F127</f>
        <v>70.042281015038412</v>
      </c>
      <c r="K127" s="41">
        <f>SUM(K117:K126)</f>
        <v>159875288.69999999</v>
      </c>
      <c r="L127" s="41">
        <f>SUM(L117:L126)</f>
        <v>155696019.69999999</v>
      </c>
      <c r="M127" s="44">
        <f>(+K127-L127)/L127</f>
        <v>2.6842490951616796E-2</v>
      </c>
      <c r="N127" s="10"/>
      <c r="R127" s="2"/>
    </row>
    <row r="128" spans="1:18" ht="15.75" customHeight="1" thickTop="1" x14ac:dyDescent="0.2">
      <c r="A128" s="58"/>
      <c r="B128" s="59"/>
      <c r="C128" s="59"/>
      <c r="D128" s="59"/>
      <c r="E128" s="60"/>
      <c r="F128" s="59"/>
      <c r="G128" s="59"/>
      <c r="H128" s="60"/>
      <c r="I128" s="59"/>
      <c r="J128" s="59"/>
      <c r="K128" s="197"/>
      <c r="L128" s="197"/>
      <c r="M128" s="61"/>
      <c r="N128" s="10"/>
      <c r="R128" s="2"/>
    </row>
    <row r="129" spans="1:18" ht="15" customHeight="1" x14ac:dyDescent="0.25">
      <c r="A129" s="19" t="s">
        <v>59</v>
      </c>
      <c r="B129" s="20">
        <f>DATE(2014,7,1)</f>
        <v>41821</v>
      </c>
      <c r="C129" s="21">
        <v>84999</v>
      </c>
      <c r="D129" s="21">
        <v>86946</v>
      </c>
      <c r="E129" s="23">
        <f t="shared" ref="E129:E137" si="50">(+C129-D129)/D129</f>
        <v>-2.2393209578358983E-2</v>
      </c>
      <c r="F129" s="21">
        <f>+C129-43157</f>
        <v>41842</v>
      </c>
      <c r="G129" s="21">
        <f>+D129-43787</f>
        <v>43159</v>
      </c>
      <c r="H129" s="23">
        <f t="shared" ref="H129:H137" si="51">(+F129-G129)/G129</f>
        <v>-3.0515072174980885E-2</v>
      </c>
      <c r="I129" s="24">
        <f t="shared" ref="I129:I137" si="52">K129/C129</f>
        <v>35.69264038400452</v>
      </c>
      <c r="J129" s="24">
        <f t="shared" ref="J129:J137" si="53">K129/F129</f>
        <v>72.507020218918797</v>
      </c>
      <c r="K129" s="21">
        <v>3033838.74</v>
      </c>
      <c r="L129" s="21">
        <v>2974457.52</v>
      </c>
      <c r="M129" s="25">
        <f t="shared" ref="M129:M137" si="54">(+K129-L129)/L129</f>
        <v>1.9963714257381696E-2</v>
      </c>
      <c r="N129" s="10"/>
      <c r="R129" s="2"/>
    </row>
    <row r="130" spans="1:18" ht="15" customHeight="1" x14ac:dyDescent="0.25">
      <c r="A130" s="19"/>
      <c r="B130" s="20">
        <f>DATE(2014,8,1)</f>
        <v>41852</v>
      </c>
      <c r="C130" s="21">
        <v>89307</v>
      </c>
      <c r="D130" s="21">
        <v>89883</v>
      </c>
      <c r="E130" s="23">
        <f t="shared" si="50"/>
        <v>-6.408330830079103E-3</v>
      </c>
      <c r="F130" s="21">
        <f>+C130-44522</f>
        <v>44785</v>
      </c>
      <c r="G130" s="21">
        <f>+D130-45553</f>
        <v>44330</v>
      </c>
      <c r="H130" s="23">
        <f t="shared" si="51"/>
        <v>1.0263929618768328E-2</v>
      </c>
      <c r="I130" s="24">
        <f t="shared" si="52"/>
        <v>36.395771104168766</v>
      </c>
      <c r="J130" s="24">
        <f t="shared" si="53"/>
        <v>72.577807971419006</v>
      </c>
      <c r="K130" s="21">
        <v>3250397.13</v>
      </c>
      <c r="L130" s="21">
        <v>3038452.81</v>
      </c>
      <c r="M130" s="25">
        <f t="shared" si="54"/>
        <v>6.9754027214923187E-2</v>
      </c>
      <c r="N130" s="10"/>
      <c r="R130" s="2"/>
    </row>
    <row r="131" spans="1:18" ht="15" customHeight="1" x14ac:dyDescent="0.25">
      <c r="A131" s="19"/>
      <c r="B131" s="20">
        <f>DATE(2014,9,1)</f>
        <v>41883</v>
      </c>
      <c r="C131" s="21">
        <v>78430</v>
      </c>
      <c r="D131" s="21">
        <v>83616</v>
      </c>
      <c r="E131" s="23">
        <f t="shared" si="50"/>
        <v>-6.2021622655951014E-2</v>
      </c>
      <c r="F131" s="21">
        <f>+C131-39135</f>
        <v>39295</v>
      </c>
      <c r="G131" s="21">
        <f>+D131-42083</f>
        <v>41533</v>
      </c>
      <c r="H131" s="23">
        <f t="shared" si="51"/>
        <v>-5.3884862639347025E-2</v>
      </c>
      <c r="I131" s="24">
        <f t="shared" si="52"/>
        <v>34.819760805814099</v>
      </c>
      <c r="J131" s="24">
        <f t="shared" si="53"/>
        <v>69.497743733299401</v>
      </c>
      <c r="K131" s="21">
        <v>2730913.84</v>
      </c>
      <c r="L131" s="21">
        <v>2886948.81</v>
      </c>
      <c r="M131" s="25">
        <f t="shared" si="54"/>
        <v>-5.4048402056702971E-2</v>
      </c>
      <c r="N131" s="10"/>
      <c r="R131" s="2"/>
    </row>
    <row r="132" spans="1:18" ht="15" customHeight="1" x14ac:dyDescent="0.25">
      <c r="A132" s="19"/>
      <c r="B132" s="20">
        <f>DATE(2014,10,1)</f>
        <v>41913</v>
      </c>
      <c r="C132" s="21">
        <v>82199</v>
      </c>
      <c r="D132" s="21">
        <v>80385</v>
      </c>
      <c r="E132" s="23">
        <f t="shared" si="50"/>
        <v>2.256639920383156E-2</v>
      </c>
      <c r="F132" s="21">
        <f>C132-41678</f>
        <v>40521</v>
      </c>
      <c r="G132" s="21">
        <f>D132-41448</f>
        <v>38937</v>
      </c>
      <c r="H132" s="23">
        <f t="shared" si="51"/>
        <v>4.068110023884737E-2</v>
      </c>
      <c r="I132" s="24">
        <f t="shared" si="52"/>
        <v>36.287997420893198</v>
      </c>
      <c r="J132" s="24">
        <f t="shared" si="53"/>
        <v>73.612129513091986</v>
      </c>
      <c r="K132" s="21">
        <v>2982837.1</v>
      </c>
      <c r="L132" s="21">
        <v>2900206.87</v>
      </c>
      <c r="M132" s="25">
        <f t="shared" si="54"/>
        <v>2.8491150357146756E-2</v>
      </c>
      <c r="N132" s="10"/>
      <c r="R132" s="2"/>
    </row>
    <row r="133" spans="1:18" ht="15" customHeight="1" x14ac:dyDescent="0.25">
      <c r="A133" s="19"/>
      <c r="B133" s="20">
        <f>DATE(2014,11,1)</f>
        <v>41944</v>
      </c>
      <c r="C133" s="21">
        <v>78781</v>
      </c>
      <c r="D133" s="22">
        <v>85054</v>
      </c>
      <c r="E133" s="23">
        <f t="shared" si="50"/>
        <v>-7.3753145060784911E-2</v>
      </c>
      <c r="F133" s="21">
        <f>C133-39817</f>
        <v>38964</v>
      </c>
      <c r="G133" s="21">
        <f>D133-44715</f>
        <v>40339</v>
      </c>
      <c r="H133" s="23">
        <f t="shared" si="51"/>
        <v>-3.4086120131882294E-2</v>
      </c>
      <c r="I133" s="24">
        <f t="shared" si="52"/>
        <v>35.606782219062971</v>
      </c>
      <c r="J133" s="24">
        <f t="shared" si="53"/>
        <v>71.99306821681553</v>
      </c>
      <c r="K133" s="21">
        <v>2805137.91</v>
      </c>
      <c r="L133" s="21">
        <v>3171879.87</v>
      </c>
      <c r="M133" s="25">
        <f t="shared" si="54"/>
        <v>-0.11562290346134703</v>
      </c>
      <c r="N133" s="10"/>
      <c r="R133" s="2"/>
    </row>
    <row r="134" spans="1:18" ht="15" customHeight="1" x14ac:dyDescent="0.25">
      <c r="A134" s="19"/>
      <c r="B134" s="20">
        <f>DATE(2014,12,1)</f>
        <v>41974</v>
      </c>
      <c r="C134" s="21">
        <v>88756</v>
      </c>
      <c r="D134" s="22">
        <v>78281</v>
      </c>
      <c r="E134" s="23">
        <f t="shared" si="50"/>
        <v>0.13381280259577674</v>
      </c>
      <c r="F134" s="21">
        <f>+C134-44272</f>
        <v>44484</v>
      </c>
      <c r="G134" s="21">
        <f>+D134-41497</f>
        <v>36784</v>
      </c>
      <c r="H134" s="23">
        <f t="shared" si="51"/>
        <v>0.20933014354066987</v>
      </c>
      <c r="I134" s="24">
        <f t="shared" si="52"/>
        <v>33.927695479742212</v>
      </c>
      <c r="J134" s="24">
        <f t="shared" si="53"/>
        <v>67.693699757216081</v>
      </c>
      <c r="K134" s="21">
        <v>3011286.54</v>
      </c>
      <c r="L134" s="21">
        <v>3007600.52</v>
      </c>
      <c r="M134" s="25">
        <f t="shared" si="54"/>
        <v>1.2255683477538496E-3</v>
      </c>
      <c r="N134" s="10"/>
      <c r="R134" s="2"/>
    </row>
    <row r="135" spans="1:18" ht="15" customHeight="1" x14ac:dyDescent="0.25">
      <c r="A135" s="19"/>
      <c r="B135" s="20">
        <f>DATE(2015,1,1)</f>
        <v>42005</v>
      </c>
      <c r="C135" s="21">
        <v>80912</v>
      </c>
      <c r="D135" s="22">
        <v>73760</v>
      </c>
      <c r="E135" s="23">
        <f t="shared" si="50"/>
        <v>9.6963123644251623E-2</v>
      </c>
      <c r="F135" s="21">
        <f>+C135-41354</f>
        <v>39558</v>
      </c>
      <c r="G135" s="21">
        <f>+D135-38513</f>
        <v>35247</v>
      </c>
      <c r="H135" s="23">
        <f t="shared" si="51"/>
        <v>0.1223082815558771</v>
      </c>
      <c r="I135" s="24">
        <f t="shared" si="52"/>
        <v>33.988224614395889</v>
      </c>
      <c r="J135" s="24">
        <f t="shared" si="53"/>
        <v>69.519572020830168</v>
      </c>
      <c r="K135" s="21">
        <v>2750055.23</v>
      </c>
      <c r="L135" s="21">
        <v>2735542.96</v>
      </c>
      <c r="M135" s="25">
        <f t="shared" si="54"/>
        <v>5.3050784477535742E-3</v>
      </c>
      <c r="N135" s="10"/>
      <c r="R135" s="2"/>
    </row>
    <row r="136" spans="1:18" ht="15" customHeight="1" x14ac:dyDescent="0.25">
      <c r="A136" s="19"/>
      <c r="B136" s="20">
        <f>DATE(2015,2,1)</f>
        <v>42036</v>
      </c>
      <c r="C136" s="21">
        <v>78042</v>
      </c>
      <c r="D136" s="22">
        <v>76246</v>
      </c>
      <c r="E136" s="23">
        <f t="shared" si="50"/>
        <v>2.3555334050310836E-2</v>
      </c>
      <c r="F136" s="21">
        <f>+C136-40657</f>
        <v>37385</v>
      </c>
      <c r="G136" s="21">
        <f>+D136-40230</f>
        <v>36016</v>
      </c>
      <c r="H136" s="23">
        <f t="shared" si="51"/>
        <v>3.8010884051532655E-2</v>
      </c>
      <c r="I136" s="24">
        <f t="shared" si="52"/>
        <v>36.93063363317188</v>
      </c>
      <c r="J136" s="24">
        <f t="shared" si="53"/>
        <v>77.093500334358694</v>
      </c>
      <c r="K136" s="21">
        <v>2882140.51</v>
      </c>
      <c r="L136" s="21">
        <v>2844810.77</v>
      </c>
      <c r="M136" s="25">
        <f t="shared" si="54"/>
        <v>1.3122046778527824E-2</v>
      </c>
      <c r="N136" s="10"/>
      <c r="R136" s="2"/>
    </row>
    <row r="137" spans="1:18" ht="15" customHeight="1" x14ac:dyDescent="0.25">
      <c r="A137" s="19"/>
      <c r="B137" s="20">
        <f>DATE(2015,3,1)</f>
        <v>42064</v>
      </c>
      <c r="C137" s="21">
        <v>92487</v>
      </c>
      <c r="D137" s="22">
        <v>92304</v>
      </c>
      <c r="E137" s="23">
        <f t="shared" si="50"/>
        <v>1.9825793031721271E-3</v>
      </c>
      <c r="F137" s="21">
        <f>+C137-47552</f>
        <v>44935</v>
      </c>
      <c r="G137" s="21">
        <f>+D137-48229</f>
        <v>44075</v>
      </c>
      <c r="H137" s="23">
        <f t="shared" si="51"/>
        <v>1.9512195121951219E-2</v>
      </c>
      <c r="I137" s="24">
        <f t="shared" si="52"/>
        <v>36.783329765264305</v>
      </c>
      <c r="J137" s="24">
        <f t="shared" si="53"/>
        <v>75.708908868365413</v>
      </c>
      <c r="K137" s="21">
        <v>3401979.82</v>
      </c>
      <c r="L137" s="21">
        <v>3452035.94</v>
      </c>
      <c r="M137" s="25">
        <f t="shared" si="54"/>
        <v>-1.4500463167251993E-2</v>
      </c>
      <c r="N137" s="10"/>
      <c r="R137" s="2"/>
    </row>
    <row r="138" spans="1:18" ht="15.75" thickBot="1" x14ac:dyDescent="0.25">
      <c r="A138" s="38"/>
      <c r="B138" s="20"/>
      <c r="C138" s="21"/>
      <c r="D138" s="21"/>
      <c r="E138" s="23"/>
      <c r="F138" s="21"/>
      <c r="G138" s="21"/>
      <c r="H138" s="23"/>
      <c r="I138" s="24"/>
      <c r="J138" s="24"/>
      <c r="K138" s="21"/>
      <c r="L138" s="21"/>
      <c r="M138" s="25"/>
      <c r="N138" s="10"/>
      <c r="R138" s="2"/>
    </row>
    <row r="139" spans="1:18" ht="17.25" thickTop="1" thickBot="1" x14ac:dyDescent="0.3">
      <c r="A139" s="62" t="s">
        <v>14</v>
      </c>
      <c r="B139" s="52"/>
      <c r="C139" s="48">
        <f>SUM(C129:C138)</f>
        <v>753913</v>
      </c>
      <c r="D139" s="48">
        <f>SUM(D129:D138)</f>
        <v>746475</v>
      </c>
      <c r="E139" s="283">
        <f>(+C139-D139)/D139</f>
        <v>9.9641649084028262E-3</v>
      </c>
      <c r="F139" s="48">
        <f>SUM(F129:F138)</f>
        <v>371769</v>
      </c>
      <c r="G139" s="48">
        <f>SUM(G129:G138)</f>
        <v>360420</v>
      </c>
      <c r="H139" s="42">
        <f>(+F139-G139)/G139</f>
        <v>3.1488263692358916E-2</v>
      </c>
      <c r="I139" s="50">
        <f>K139/C139</f>
        <v>35.612314444770156</v>
      </c>
      <c r="J139" s="50">
        <f>K139/F139</f>
        <v>72.218465821518208</v>
      </c>
      <c r="K139" s="48">
        <f>SUM(K129:K138)</f>
        <v>26848586.82</v>
      </c>
      <c r="L139" s="48">
        <f>SUM(L129:L138)</f>
        <v>27011936.070000004</v>
      </c>
      <c r="M139" s="44">
        <f>(+K139-L139)/L139</f>
        <v>-6.0472988525033071E-3</v>
      </c>
      <c r="N139" s="10"/>
      <c r="R139" s="2"/>
    </row>
    <row r="140" spans="1:18" ht="15.75" customHeight="1" thickTop="1" x14ac:dyDescent="0.25">
      <c r="A140" s="19"/>
      <c r="B140" s="45"/>
      <c r="C140" s="21"/>
      <c r="D140" s="21"/>
      <c r="E140" s="23"/>
      <c r="F140" s="21"/>
      <c r="G140" s="21"/>
      <c r="H140" s="23"/>
      <c r="I140" s="24"/>
      <c r="J140" s="24"/>
      <c r="K140" s="21"/>
      <c r="L140" s="21"/>
      <c r="M140" s="25"/>
      <c r="N140" s="10"/>
      <c r="R140" s="2"/>
    </row>
    <row r="141" spans="1:18" ht="15.75" x14ac:dyDescent="0.25">
      <c r="A141" s="19" t="s">
        <v>19</v>
      </c>
      <c r="B141" s="20">
        <f>DATE(2014,7,1)</f>
        <v>41821</v>
      </c>
      <c r="C141" s="21">
        <v>567277</v>
      </c>
      <c r="D141" s="21">
        <v>557354</v>
      </c>
      <c r="E141" s="23">
        <f t="shared" ref="E141:E149" si="55">(+C141-D141)/D141</f>
        <v>1.7803765649838342E-2</v>
      </c>
      <c r="F141" s="21">
        <f>+C141-297396</f>
        <v>269881</v>
      </c>
      <c r="G141" s="21">
        <f>+D141-286430</f>
        <v>270924</v>
      </c>
      <c r="H141" s="23">
        <f t="shared" ref="H141:H149" si="56">(+F141-G141)/G141</f>
        <v>-3.8497881324651931E-3</v>
      </c>
      <c r="I141" s="24">
        <f t="shared" ref="I141:I149" si="57">K141/C141</f>
        <v>39.861584798960649</v>
      </c>
      <c r="J141" s="24">
        <f t="shared" ref="J141:J149" si="58">K141/F141</f>
        <v>83.787151522337624</v>
      </c>
      <c r="K141" s="21">
        <v>22612560.239999998</v>
      </c>
      <c r="L141" s="21">
        <v>21465065.690000001</v>
      </c>
      <c r="M141" s="25">
        <f t="shared" ref="M141:M149" si="59">(+K141-L141)/L141</f>
        <v>5.3458701993844074E-2</v>
      </c>
      <c r="N141" s="10"/>
      <c r="R141" s="2"/>
    </row>
    <row r="142" spans="1:18" ht="15.75" x14ac:dyDescent="0.25">
      <c r="A142" s="19"/>
      <c r="B142" s="20">
        <f>DATE(2014,8,1)</f>
        <v>41852</v>
      </c>
      <c r="C142" s="21">
        <v>609221</v>
      </c>
      <c r="D142" s="21">
        <v>558243</v>
      </c>
      <c r="E142" s="23">
        <f t="shared" si="55"/>
        <v>9.1318655137637192E-2</v>
      </c>
      <c r="F142" s="21">
        <f>+C142-314633</f>
        <v>294588</v>
      </c>
      <c r="G142" s="21">
        <f>+D142-286154</f>
        <v>272089</v>
      </c>
      <c r="H142" s="23">
        <f t="shared" si="56"/>
        <v>8.268985515768737E-2</v>
      </c>
      <c r="I142" s="24">
        <f t="shared" si="57"/>
        <v>38.978991236349373</v>
      </c>
      <c r="J142" s="24">
        <f t="shared" si="58"/>
        <v>80.610276114437795</v>
      </c>
      <c r="K142" s="21">
        <v>23746820.02</v>
      </c>
      <c r="L142" s="21">
        <v>22258767.710000001</v>
      </c>
      <c r="M142" s="25">
        <f t="shared" si="59"/>
        <v>6.6852412019712773E-2</v>
      </c>
      <c r="N142" s="10"/>
      <c r="R142" s="2"/>
    </row>
    <row r="143" spans="1:18" ht="15.75" x14ac:dyDescent="0.25">
      <c r="A143" s="19"/>
      <c r="B143" s="20">
        <f>DATE(2014,9,1)</f>
        <v>41883</v>
      </c>
      <c r="C143" s="21">
        <v>511921</v>
      </c>
      <c r="D143" s="21">
        <v>517441</v>
      </c>
      <c r="E143" s="23">
        <f t="shared" si="55"/>
        <v>-1.0667882908389556E-2</v>
      </c>
      <c r="F143" s="21">
        <f>+C143-263857</f>
        <v>248064</v>
      </c>
      <c r="G143" s="21">
        <f>+D143-263971</f>
        <v>253470</v>
      </c>
      <c r="H143" s="23">
        <f t="shared" si="56"/>
        <v>-2.1327967806841045E-2</v>
      </c>
      <c r="I143" s="24">
        <f t="shared" si="57"/>
        <v>39.424569845737913</v>
      </c>
      <c r="J143" s="24">
        <f t="shared" si="58"/>
        <v>81.359105795278637</v>
      </c>
      <c r="K143" s="21">
        <v>20182265.219999999</v>
      </c>
      <c r="L143" s="21">
        <v>20216772.920000002</v>
      </c>
      <c r="M143" s="25">
        <f t="shared" si="59"/>
        <v>-1.7068846811780372E-3</v>
      </c>
      <c r="N143" s="10"/>
      <c r="R143" s="2"/>
    </row>
    <row r="144" spans="1:18" ht="15.75" x14ac:dyDescent="0.25">
      <c r="A144" s="19"/>
      <c r="B144" s="20">
        <f>DATE(2014,10,1)</f>
        <v>41913</v>
      </c>
      <c r="C144" s="21">
        <v>541325</v>
      </c>
      <c r="D144" s="21">
        <v>507912</v>
      </c>
      <c r="E144" s="23">
        <f t="shared" si="55"/>
        <v>6.5785017877112564E-2</v>
      </c>
      <c r="F144" s="21">
        <f>C144-282682</f>
        <v>258643</v>
      </c>
      <c r="G144" s="21">
        <f>D144-260802</f>
        <v>247110</v>
      </c>
      <c r="H144" s="23">
        <f t="shared" si="56"/>
        <v>4.6671522803609727E-2</v>
      </c>
      <c r="I144" s="24">
        <f t="shared" si="57"/>
        <v>39.280284062254651</v>
      </c>
      <c r="J144" s="24">
        <f t="shared" si="58"/>
        <v>82.211387008347415</v>
      </c>
      <c r="K144" s="21">
        <v>21263399.77</v>
      </c>
      <c r="L144" s="21">
        <v>20213106.43</v>
      </c>
      <c r="M144" s="25">
        <f t="shared" si="59"/>
        <v>5.1961005777972344E-2</v>
      </c>
      <c r="N144" s="10"/>
      <c r="R144" s="2"/>
    </row>
    <row r="145" spans="1:18" ht="15.75" x14ac:dyDescent="0.25">
      <c r="A145" s="19"/>
      <c r="B145" s="20">
        <f>DATE(2014,11,1)</f>
        <v>41944</v>
      </c>
      <c r="C145" s="21">
        <v>521626</v>
      </c>
      <c r="D145" s="22">
        <v>546393</v>
      </c>
      <c r="E145" s="23">
        <f t="shared" si="55"/>
        <v>-4.5328179533778802E-2</v>
      </c>
      <c r="F145" s="21">
        <f>C145-265041</f>
        <v>256585</v>
      </c>
      <c r="G145" s="21">
        <f>D145-280915</f>
        <v>265478</v>
      </c>
      <c r="H145" s="23">
        <f t="shared" si="56"/>
        <v>-3.3498067636489652E-2</v>
      </c>
      <c r="I145" s="24">
        <f t="shared" si="57"/>
        <v>40.927469470463514</v>
      </c>
      <c r="J145" s="24">
        <f t="shared" si="58"/>
        <v>83.203742190697042</v>
      </c>
      <c r="K145" s="21">
        <v>21348832.190000001</v>
      </c>
      <c r="L145" s="21">
        <v>21593950.93</v>
      </c>
      <c r="M145" s="25">
        <f t="shared" si="59"/>
        <v>-1.1351268732368022E-2</v>
      </c>
      <c r="N145" s="10"/>
      <c r="R145" s="2"/>
    </row>
    <row r="146" spans="1:18" ht="15.75" x14ac:dyDescent="0.25">
      <c r="A146" s="19"/>
      <c r="B146" s="20">
        <f>DATE(2014,12,1)</f>
        <v>41974</v>
      </c>
      <c r="C146" s="21">
        <v>551022</v>
      </c>
      <c r="D146" s="22">
        <v>537612</v>
      </c>
      <c r="E146" s="23">
        <f t="shared" si="55"/>
        <v>2.4943639650900649E-2</v>
      </c>
      <c r="F146" s="21">
        <f>+C146-283602</f>
        <v>267420</v>
      </c>
      <c r="G146" s="21">
        <f>+D146-278057</f>
        <v>259555</v>
      </c>
      <c r="H146" s="23">
        <f t="shared" si="56"/>
        <v>3.0301862803644698E-2</v>
      </c>
      <c r="I146" s="24">
        <f t="shared" si="57"/>
        <v>40.771592949101851</v>
      </c>
      <c r="J146" s="24">
        <f t="shared" si="58"/>
        <v>84.010338381572069</v>
      </c>
      <c r="K146" s="21">
        <v>22466044.690000001</v>
      </c>
      <c r="L146" s="21">
        <v>20461384.440000001</v>
      </c>
      <c r="M146" s="25">
        <f t="shared" si="59"/>
        <v>9.7972854958977534E-2</v>
      </c>
      <c r="N146" s="10"/>
      <c r="R146" s="2"/>
    </row>
    <row r="147" spans="1:18" ht="15.75" x14ac:dyDescent="0.25">
      <c r="A147" s="19"/>
      <c r="B147" s="20">
        <f>DATE(2015,1,1)</f>
        <v>42005</v>
      </c>
      <c r="C147" s="21">
        <v>546386</v>
      </c>
      <c r="D147" s="22">
        <v>500303</v>
      </c>
      <c r="E147" s="23">
        <f t="shared" si="55"/>
        <v>9.2110181230174518E-2</v>
      </c>
      <c r="F147" s="21">
        <f>+C147-283429</f>
        <v>262957</v>
      </c>
      <c r="G147" s="21">
        <f>+D147-263177</f>
        <v>237126</v>
      </c>
      <c r="H147" s="23">
        <f t="shared" si="56"/>
        <v>0.10893364709057632</v>
      </c>
      <c r="I147" s="24">
        <f t="shared" si="57"/>
        <v>40.494486480253883</v>
      </c>
      <c r="J147" s="24">
        <f t="shared" si="58"/>
        <v>84.141591552991542</v>
      </c>
      <c r="K147" s="21">
        <v>22125620.489999998</v>
      </c>
      <c r="L147" s="21">
        <v>19184098.809999999</v>
      </c>
      <c r="M147" s="25">
        <f t="shared" si="59"/>
        <v>0.1533312411040485</v>
      </c>
      <c r="N147" s="10"/>
      <c r="R147" s="2"/>
    </row>
    <row r="148" spans="1:18" ht="15.75" x14ac:dyDescent="0.25">
      <c r="A148" s="19"/>
      <c r="B148" s="20">
        <f>DATE(2015,2,1)</f>
        <v>42036</v>
      </c>
      <c r="C148" s="21">
        <v>494739</v>
      </c>
      <c r="D148" s="22">
        <v>519346</v>
      </c>
      <c r="E148" s="23">
        <f t="shared" si="55"/>
        <v>-4.7380744243721913E-2</v>
      </c>
      <c r="F148" s="21">
        <f>+C148-253818</f>
        <v>240921</v>
      </c>
      <c r="G148" s="21">
        <f>+D148-277043</f>
        <v>242303</v>
      </c>
      <c r="H148" s="23">
        <f t="shared" si="56"/>
        <v>-5.7036025142074183E-3</v>
      </c>
      <c r="I148" s="24">
        <f t="shared" si="57"/>
        <v>42.981624028022857</v>
      </c>
      <c r="J148" s="24">
        <f t="shared" si="58"/>
        <v>88.264143391402172</v>
      </c>
      <c r="K148" s="21">
        <v>21264685.690000001</v>
      </c>
      <c r="L148" s="21">
        <v>20157277.850000001</v>
      </c>
      <c r="M148" s="25">
        <f t="shared" si="59"/>
        <v>5.493836262221289E-2</v>
      </c>
      <c r="N148" s="10"/>
      <c r="R148" s="2"/>
    </row>
    <row r="149" spans="1:18" ht="15.75" x14ac:dyDescent="0.25">
      <c r="A149" s="19"/>
      <c r="B149" s="20">
        <f>DATE(2015,3,1)</f>
        <v>42064</v>
      </c>
      <c r="C149" s="21">
        <v>581811</v>
      </c>
      <c r="D149" s="22">
        <v>588800</v>
      </c>
      <c r="E149" s="23">
        <f t="shared" si="55"/>
        <v>-1.1869904891304349E-2</v>
      </c>
      <c r="F149" s="21">
        <f>+C149-298446</f>
        <v>283365</v>
      </c>
      <c r="G149" s="21">
        <f>+D149-313314</f>
        <v>275486</v>
      </c>
      <c r="H149" s="23">
        <f t="shared" si="56"/>
        <v>2.8600364446832144E-2</v>
      </c>
      <c r="I149" s="24">
        <f t="shared" si="57"/>
        <v>41.638681238409035</v>
      </c>
      <c r="J149" s="24">
        <f t="shared" si="58"/>
        <v>85.493419335486038</v>
      </c>
      <c r="K149" s="21">
        <v>24225842.77</v>
      </c>
      <c r="L149" s="21">
        <v>23482293.34</v>
      </c>
      <c r="M149" s="25">
        <f t="shared" si="59"/>
        <v>3.1664259501154826E-2</v>
      </c>
      <c r="N149" s="10"/>
      <c r="R149" s="2"/>
    </row>
    <row r="150" spans="1:18" ht="15.75" thickBot="1" x14ac:dyDescent="0.25">
      <c r="A150" s="38"/>
      <c r="B150" s="45"/>
      <c r="C150" s="21"/>
      <c r="D150" s="21"/>
      <c r="E150" s="23"/>
      <c r="F150" s="21"/>
      <c r="G150" s="21"/>
      <c r="H150" s="23"/>
      <c r="I150" s="24"/>
      <c r="J150" s="24"/>
      <c r="K150" s="21"/>
      <c r="L150" s="21"/>
      <c r="M150" s="25"/>
      <c r="N150" s="10"/>
      <c r="R150" s="2"/>
    </row>
    <row r="151" spans="1:18" ht="17.25" thickTop="1" thickBot="1" x14ac:dyDescent="0.3">
      <c r="A151" s="39" t="s">
        <v>14</v>
      </c>
      <c r="B151" s="40"/>
      <c r="C151" s="41">
        <f>SUM(C141:C150)</f>
        <v>4925328</v>
      </c>
      <c r="D151" s="41">
        <f>SUM(D141:D150)</f>
        <v>4833404</v>
      </c>
      <c r="E151" s="283">
        <f>(+C151-D151)/D151</f>
        <v>1.9018480557387713E-2</v>
      </c>
      <c r="F151" s="41">
        <f>SUM(F141:F150)</f>
        <v>2382424</v>
      </c>
      <c r="G151" s="41">
        <f>SUM(G141:G150)</f>
        <v>2323541</v>
      </c>
      <c r="H151" s="42">
        <f>(+F151-G151)/G151</f>
        <v>2.5341924244074023E-2</v>
      </c>
      <c r="I151" s="43">
        <f>K151/C151</f>
        <v>40.451330567223138</v>
      </c>
      <c r="J151" s="43">
        <f>K151/F151</f>
        <v>83.627461392262674</v>
      </c>
      <c r="K151" s="41">
        <f>SUM(K141:K150)</f>
        <v>199236071.08000001</v>
      </c>
      <c r="L151" s="41">
        <f>SUM(L141:L150)</f>
        <v>189032718.12</v>
      </c>
      <c r="M151" s="44">
        <f>(+K151-L151)/L151</f>
        <v>5.3976650505140653E-2</v>
      </c>
      <c r="N151" s="10"/>
      <c r="R151" s="2"/>
    </row>
    <row r="152" spans="1:18" ht="15.75" customHeight="1" thickTop="1" x14ac:dyDescent="0.25">
      <c r="A152" s="19"/>
      <c r="B152" s="45"/>
      <c r="C152" s="21"/>
      <c r="D152" s="21"/>
      <c r="E152" s="23"/>
      <c r="F152" s="21"/>
      <c r="G152" s="21"/>
      <c r="H152" s="23"/>
      <c r="I152" s="24"/>
      <c r="J152" s="24"/>
      <c r="K152" s="21"/>
      <c r="L152" s="21"/>
      <c r="M152" s="25"/>
      <c r="N152" s="10"/>
      <c r="R152" s="2"/>
    </row>
    <row r="153" spans="1:18" ht="15.75" x14ac:dyDescent="0.25">
      <c r="A153" s="19" t="s">
        <v>63</v>
      </c>
      <c r="B153" s="20">
        <f>DATE(2014,7,1)</f>
        <v>41821</v>
      </c>
      <c r="C153" s="21">
        <v>102496</v>
      </c>
      <c r="D153" s="21">
        <v>97183</v>
      </c>
      <c r="E153" s="23">
        <f t="shared" ref="E153:E161" si="60">(+C153-D153)/D153</f>
        <v>5.4670055462375106E-2</v>
      </c>
      <c r="F153" s="21">
        <f>+C153-50077</f>
        <v>52419</v>
      </c>
      <c r="G153" s="21">
        <f>+D153-48052</f>
        <v>49131</v>
      </c>
      <c r="H153" s="23">
        <f t="shared" ref="H153:H158" si="61">(+F153-G153)/G153</f>
        <v>6.6923123893264949E-2</v>
      </c>
      <c r="I153" s="24">
        <f t="shared" ref="I153:I158" si="62">K153/C153</f>
        <v>32.590748321885734</v>
      </c>
      <c r="J153" s="24">
        <f t="shared" ref="J153:J158" si="63">K153/F153</f>
        <v>63.725392319578773</v>
      </c>
      <c r="K153" s="21">
        <v>3340421.34</v>
      </c>
      <c r="L153" s="21">
        <v>3033658.45</v>
      </c>
      <c r="M153" s="25">
        <f t="shared" ref="M153:M161" si="64">(+K153-L153)/L153</f>
        <v>0.10111978492502992</v>
      </c>
      <c r="N153" s="10"/>
      <c r="R153" s="2"/>
    </row>
    <row r="154" spans="1:18" ht="15.75" x14ac:dyDescent="0.25">
      <c r="A154" s="19"/>
      <c r="B154" s="20">
        <f>DATE(2014,8,1)</f>
        <v>41852</v>
      </c>
      <c r="C154" s="21">
        <v>103432</v>
      </c>
      <c r="D154" s="21">
        <v>99168</v>
      </c>
      <c r="E154" s="23">
        <f t="shared" si="60"/>
        <v>4.2997741206840918E-2</v>
      </c>
      <c r="F154" s="21">
        <f>+C154-51483</f>
        <v>51949</v>
      </c>
      <c r="G154" s="21">
        <f>+D154-49688</f>
        <v>49480</v>
      </c>
      <c r="H154" s="23">
        <f t="shared" si="61"/>
        <v>4.9898949070331447E-2</v>
      </c>
      <c r="I154" s="24">
        <f t="shared" si="62"/>
        <v>33.314665287338542</v>
      </c>
      <c r="J154" s="24">
        <f t="shared" si="63"/>
        <v>66.330486823615473</v>
      </c>
      <c r="K154" s="21">
        <v>3445802.46</v>
      </c>
      <c r="L154" s="21">
        <v>3160851.05</v>
      </c>
      <c r="M154" s="25">
        <f t="shared" si="64"/>
        <v>9.0150217613069794E-2</v>
      </c>
      <c r="N154" s="10"/>
      <c r="R154" s="2"/>
    </row>
    <row r="155" spans="1:18" ht="15.75" x14ac:dyDescent="0.25">
      <c r="A155" s="19"/>
      <c r="B155" s="20">
        <f>DATE(2014,9,1)</f>
        <v>41883</v>
      </c>
      <c r="C155" s="21">
        <v>97371</v>
      </c>
      <c r="D155" s="21">
        <v>92299</v>
      </c>
      <c r="E155" s="23">
        <f t="shared" si="60"/>
        <v>5.4951841298388933E-2</v>
      </c>
      <c r="F155" s="21">
        <f>+C155-46879</f>
        <v>50492</v>
      </c>
      <c r="G155" s="21">
        <f>+D155-46130</f>
        <v>46169</v>
      </c>
      <c r="H155" s="23">
        <f t="shared" si="61"/>
        <v>9.3634256752366307E-2</v>
      </c>
      <c r="I155" s="24">
        <f t="shared" si="62"/>
        <v>31.609307494017724</v>
      </c>
      <c r="J155" s="24">
        <f t="shared" si="63"/>
        <v>60.956782856690168</v>
      </c>
      <c r="K155" s="21">
        <v>3077829.88</v>
      </c>
      <c r="L155" s="21">
        <v>2993803.06</v>
      </c>
      <c r="M155" s="25">
        <f t="shared" si="64"/>
        <v>2.8066916332165091E-2</v>
      </c>
      <c r="N155" s="10"/>
      <c r="R155" s="2"/>
    </row>
    <row r="156" spans="1:18" ht="15.75" x14ac:dyDescent="0.25">
      <c r="A156" s="19"/>
      <c r="B156" s="20">
        <f>DATE(2014,10,1)</f>
        <v>41913</v>
      </c>
      <c r="C156" s="21">
        <v>97775</v>
      </c>
      <c r="D156" s="21">
        <v>93567</v>
      </c>
      <c r="E156" s="23">
        <f t="shared" si="60"/>
        <v>4.4973120865262325E-2</v>
      </c>
      <c r="F156" s="21">
        <f>C156-48511</f>
        <v>49264</v>
      </c>
      <c r="G156" s="21">
        <f>D156-45748</f>
        <v>47819</v>
      </c>
      <c r="H156" s="23">
        <f t="shared" si="61"/>
        <v>3.0218114138731468E-2</v>
      </c>
      <c r="I156" s="24">
        <f t="shared" si="62"/>
        <v>31.781869394016873</v>
      </c>
      <c r="J156" s="24">
        <f t="shared" si="63"/>
        <v>63.077953069178299</v>
      </c>
      <c r="K156" s="21">
        <v>3107472.28</v>
      </c>
      <c r="L156" s="21">
        <v>3096973.24</v>
      </c>
      <c r="M156" s="25">
        <f t="shared" si="64"/>
        <v>3.3900971000962125E-3</v>
      </c>
      <c r="N156" s="10"/>
      <c r="R156" s="2"/>
    </row>
    <row r="157" spans="1:18" ht="15.75" x14ac:dyDescent="0.25">
      <c r="A157" s="19"/>
      <c r="B157" s="20">
        <f>DATE(2014,11,1)</f>
        <v>41944</v>
      </c>
      <c r="C157" s="21">
        <v>92234</v>
      </c>
      <c r="D157" s="22">
        <v>92984</v>
      </c>
      <c r="E157" s="23">
        <f t="shared" si="60"/>
        <v>-8.0659038114084137E-3</v>
      </c>
      <c r="F157" s="21">
        <f>C157-46503</f>
        <v>45731</v>
      </c>
      <c r="G157" s="21">
        <f>D157-46573</f>
        <v>46411</v>
      </c>
      <c r="H157" s="23">
        <f t="shared" si="61"/>
        <v>-1.4651698950679796E-2</v>
      </c>
      <c r="I157" s="24">
        <f t="shared" si="62"/>
        <v>32.766281306242817</v>
      </c>
      <c r="J157" s="24">
        <f t="shared" si="63"/>
        <v>66.085700946841314</v>
      </c>
      <c r="K157" s="21">
        <v>3022165.19</v>
      </c>
      <c r="L157" s="21">
        <v>2930934.78</v>
      </c>
      <c r="M157" s="25">
        <f t="shared" si="64"/>
        <v>3.1126728108224967E-2</v>
      </c>
      <c r="N157" s="10"/>
      <c r="R157" s="2"/>
    </row>
    <row r="158" spans="1:18" ht="15.75" x14ac:dyDescent="0.25">
      <c r="A158" s="19"/>
      <c r="B158" s="20">
        <f>DATE(2014,12,1)</f>
        <v>41974</v>
      </c>
      <c r="C158" s="21">
        <v>105150</v>
      </c>
      <c r="D158" s="22">
        <v>89488</v>
      </c>
      <c r="E158" s="23">
        <f t="shared" si="60"/>
        <v>0.17501787949222242</v>
      </c>
      <c r="F158" s="21">
        <f>+C158-52693</f>
        <v>52457</v>
      </c>
      <c r="G158" s="21">
        <f>+D158-45008</f>
        <v>44480</v>
      </c>
      <c r="H158" s="23">
        <f t="shared" si="61"/>
        <v>0.17933902877697841</v>
      </c>
      <c r="I158" s="24">
        <f t="shared" si="62"/>
        <v>29.142140561103187</v>
      </c>
      <c r="J158" s="24">
        <f t="shared" si="63"/>
        <v>58.415389366528778</v>
      </c>
      <c r="K158" s="21">
        <f>3064296.08</f>
        <v>3064296.08</v>
      </c>
      <c r="L158" s="21">
        <v>2902152.4</v>
      </c>
      <c r="M158" s="25">
        <f t="shared" si="64"/>
        <v>5.5870146584996769E-2</v>
      </c>
      <c r="N158" s="10"/>
      <c r="R158" s="2"/>
    </row>
    <row r="159" spans="1:18" ht="15.75" x14ac:dyDescent="0.25">
      <c r="A159" s="19"/>
      <c r="B159" s="20">
        <f>DATE(2015,1,1)</f>
        <v>42005</v>
      </c>
      <c r="C159" s="21">
        <v>101607</v>
      </c>
      <c r="D159" s="22">
        <v>90881</v>
      </c>
      <c r="E159" s="23">
        <f t="shared" si="60"/>
        <v>0.11802246894290336</v>
      </c>
      <c r="F159" s="21">
        <f>+C159-51822</f>
        <v>49785</v>
      </c>
      <c r="G159" s="21">
        <f>+D159-46695</f>
        <v>44186</v>
      </c>
      <c r="H159" s="23">
        <f>(+F159-G159)/G159</f>
        <v>0.12671434390983569</v>
      </c>
      <c r="I159" s="24">
        <f>K159/C159</f>
        <v>32.923131870835675</v>
      </c>
      <c r="J159" s="24">
        <f>K159/F159</f>
        <v>67.193344581701325</v>
      </c>
      <c r="K159" s="21">
        <v>3345220.66</v>
      </c>
      <c r="L159" s="21">
        <v>2994871.91</v>
      </c>
      <c r="M159" s="25">
        <f t="shared" si="64"/>
        <v>0.11698288291735322</v>
      </c>
      <c r="N159" s="10"/>
      <c r="R159" s="2"/>
    </row>
    <row r="160" spans="1:18" ht="15.75" x14ac:dyDescent="0.25">
      <c r="A160" s="19"/>
      <c r="B160" s="20">
        <f>DATE(2015,2,1)</f>
        <v>42036</v>
      </c>
      <c r="C160" s="21">
        <v>102251</v>
      </c>
      <c r="D160" s="22">
        <v>102548</v>
      </c>
      <c r="E160" s="23">
        <f t="shared" si="60"/>
        <v>-2.8962047041385499E-3</v>
      </c>
      <c r="F160" s="21">
        <f>+C160-52684</f>
        <v>49567</v>
      </c>
      <c r="G160" s="21">
        <f>+D160-52781</f>
        <v>49767</v>
      </c>
      <c r="H160" s="23">
        <f>(+F160-G160)/G160</f>
        <v>-4.0187272690738844E-3</v>
      </c>
      <c r="I160" s="24">
        <f>K160/C160</f>
        <v>32.891658174492179</v>
      </c>
      <c r="J160" s="24">
        <f>K160/F160</f>
        <v>67.8516944741461</v>
      </c>
      <c r="K160" s="21">
        <v>3363204.94</v>
      </c>
      <c r="L160" s="21">
        <v>3367323.72</v>
      </c>
      <c r="M160" s="25">
        <f t="shared" si="64"/>
        <v>-1.2231612825155582E-3</v>
      </c>
      <c r="N160" s="10"/>
      <c r="R160" s="2"/>
    </row>
    <row r="161" spans="1:18" ht="15.75" x14ac:dyDescent="0.25">
      <c r="A161" s="19"/>
      <c r="B161" s="20">
        <f>DATE(2015,3,1)</f>
        <v>42064</v>
      </c>
      <c r="C161" s="21">
        <v>111239</v>
      </c>
      <c r="D161" s="22">
        <v>109037</v>
      </c>
      <c r="E161" s="23">
        <f t="shared" si="60"/>
        <v>2.0194979685794732E-2</v>
      </c>
      <c r="F161" s="21">
        <f>+C161-55982</f>
        <v>55257</v>
      </c>
      <c r="G161" s="21">
        <f>+D161-55184</f>
        <v>53853</v>
      </c>
      <c r="H161" s="23">
        <f>(+F161-G161)/G161</f>
        <v>2.6070970976547269E-2</v>
      </c>
      <c r="I161" s="24">
        <f>K161/C161</f>
        <v>33.760054117710517</v>
      </c>
      <c r="J161" s="24">
        <f>K161/F161</f>
        <v>67.963057350199975</v>
      </c>
      <c r="K161" s="21">
        <v>3755434.66</v>
      </c>
      <c r="L161" s="21">
        <v>3654498.49</v>
      </c>
      <c r="M161" s="25">
        <f t="shared" si="64"/>
        <v>2.761970494069076E-2</v>
      </c>
      <c r="N161" s="10"/>
      <c r="R161" s="2"/>
    </row>
    <row r="162" spans="1:18" ht="15.75" thickBot="1" x14ac:dyDescent="0.25">
      <c r="A162" s="38"/>
      <c r="B162" s="45"/>
      <c r="C162" s="21"/>
      <c r="D162" s="21"/>
      <c r="E162" s="23"/>
      <c r="F162" s="21"/>
      <c r="G162" s="21"/>
      <c r="H162" s="23"/>
      <c r="I162" s="24"/>
      <c r="J162" s="24"/>
      <c r="K162" s="21"/>
      <c r="L162" s="21"/>
      <c r="M162" s="25"/>
      <c r="N162" s="10"/>
      <c r="R162" s="2"/>
    </row>
    <row r="163" spans="1:18" ht="17.25" thickTop="1" thickBot="1" x14ac:dyDescent="0.3">
      <c r="A163" s="26" t="s">
        <v>14</v>
      </c>
      <c r="B163" s="27"/>
      <c r="C163" s="28">
        <f>SUM(C153:C162)</f>
        <v>913555</v>
      </c>
      <c r="D163" s="28">
        <f>SUM(D153:D162)</f>
        <v>867155</v>
      </c>
      <c r="E163" s="283">
        <f>(+C163-D163)/D163</f>
        <v>5.3508311662851506E-2</v>
      </c>
      <c r="F163" s="28">
        <f>SUM(F153:F162)</f>
        <v>456921</v>
      </c>
      <c r="G163" s="28">
        <f>SUM(G153:G162)</f>
        <v>431296</v>
      </c>
      <c r="H163" s="42">
        <f>(+F163-G163)/G163</f>
        <v>5.9413952366820004E-2</v>
      </c>
      <c r="I163" s="43">
        <f>K163/C163</f>
        <v>32.315347724001292</v>
      </c>
      <c r="J163" s="43">
        <f>K163/F163</f>
        <v>64.610397617968971</v>
      </c>
      <c r="K163" s="28">
        <f>SUM(K153:K162)</f>
        <v>29521847.489999998</v>
      </c>
      <c r="L163" s="28">
        <f>SUM(L153:L162)</f>
        <v>28135067.100000001</v>
      </c>
      <c r="M163" s="44">
        <f>(+K163-L163)/L163</f>
        <v>4.9290104234370094E-2</v>
      </c>
      <c r="N163" s="10"/>
      <c r="R163" s="2"/>
    </row>
    <row r="164" spans="1:18" ht="16.5" thickTop="1" thickBot="1" x14ac:dyDescent="0.25">
      <c r="A164" s="63"/>
      <c r="B164" s="34"/>
      <c r="C164" s="35"/>
      <c r="D164" s="35"/>
      <c r="E164" s="29"/>
      <c r="F164" s="35"/>
      <c r="G164" s="35"/>
      <c r="H164" s="29"/>
      <c r="I164" s="36"/>
      <c r="J164" s="36"/>
      <c r="K164" s="35"/>
      <c r="L164" s="35"/>
      <c r="M164" s="37"/>
      <c r="N164" s="10"/>
      <c r="R164" s="2"/>
    </row>
    <row r="165" spans="1:18" ht="17.25" thickTop="1" thickBot="1" x14ac:dyDescent="0.3">
      <c r="A165" s="64" t="s">
        <v>20</v>
      </c>
      <c r="B165" s="65"/>
      <c r="C165" s="28">
        <f>C163+C151+C67+C91+C103+C43+C19+C115+C127+C55+C139+C31+C79</f>
        <v>33002594</v>
      </c>
      <c r="D165" s="28">
        <f>D163+D151+D67+D91+D103+D43+D19+D115+D127+D55+D139+D31+D79</f>
        <v>33745357</v>
      </c>
      <c r="E165" s="282">
        <f>(+C165-D165)/D165</f>
        <v>-2.2010820629338727E-2</v>
      </c>
      <c r="F165" s="28">
        <f>F163+F151+F67+F91+F103+F43+F19+F115+F127+F55+F139+F31+F79</f>
        <v>16463749</v>
      </c>
      <c r="G165" s="28">
        <f>G163+G151+G67+G91+G103+G43+G19+G115+G127+G55+G139+G31+G79</f>
        <v>16622455</v>
      </c>
      <c r="H165" s="30">
        <f>(+F165-G165)/G165</f>
        <v>-9.5476871497020138E-3</v>
      </c>
      <c r="I165" s="31">
        <f>K165/C165</f>
        <v>37.998933334149427</v>
      </c>
      <c r="J165" s="31">
        <f>K165/F165</f>
        <v>76.171190976004311</v>
      </c>
      <c r="K165" s="28">
        <f>K163+K151+K67+K91+K103+K43+K19+K115+K127+K55+K139+K31+K79</f>
        <v>1254063369.26</v>
      </c>
      <c r="L165" s="28">
        <f>L163+L151+L67+L91+L103+L43+L19+L115+L127+L55+L139+L31+L79</f>
        <v>1241134291.5699997</v>
      </c>
      <c r="M165" s="32">
        <f>(+K165-L165)/L165</f>
        <v>1.0417146458539453E-2</v>
      </c>
      <c r="N165" s="10"/>
      <c r="R165" s="2"/>
    </row>
    <row r="166" spans="1:18" ht="17.25" thickTop="1" thickBot="1" x14ac:dyDescent="0.3">
      <c r="A166" s="64"/>
      <c r="B166" s="65"/>
      <c r="C166" s="28"/>
      <c r="D166" s="28"/>
      <c r="E166" s="29"/>
      <c r="F166" s="28"/>
      <c r="G166" s="28"/>
      <c r="H166" s="30"/>
      <c r="I166" s="31"/>
      <c r="J166" s="31"/>
      <c r="K166" s="28"/>
      <c r="L166" s="28"/>
      <c r="M166" s="32"/>
      <c r="N166" s="10"/>
      <c r="R166" s="2"/>
    </row>
    <row r="167" spans="1:18" ht="17.25" thickTop="1" thickBot="1" x14ac:dyDescent="0.3">
      <c r="A167" s="64" t="s">
        <v>21</v>
      </c>
      <c r="B167" s="65"/>
      <c r="C167" s="28">
        <f>+C17+C29+C41+C53+C65+C77+C89+C101+C113+C125+C137+C149+C161</f>
        <v>3905706</v>
      </c>
      <c r="D167" s="28">
        <f>+D17+D29+D41+D53+D65+D77+D89+D101+D113+D125+D137+D149+D161</f>
        <v>4059236</v>
      </c>
      <c r="E167" s="282">
        <f>(+C167-D167)/D167</f>
        <v>-3.7822388252370644E-2</v>
      </c>
      <c r="F167" s="28">
        <f>+F17+F29+F41+F53+F65+F77+F89+F101+F113+F125+F137+F149+F161</f>
        <v>1929947</v>
      </c>
      <c r="G167" s="28">
        <f>+G17+G29+G41+G53+G65+G77+G89+G101+G113+G125+G137+G149+G161</f>
        <v>1979408</v>
      </c>
      <c r="H167" s="30">
        <f>(+F167-G167)/G167</f>
        <v>-2.4987774122363859E-2</v>
      </c>
      <c r="I167" s="31">
        <f>K167/C167</f>
        <v>39.327644827849305</v>
      </c>
      <c r="J167" s="31">
        <f>K167/F167</f>
        <v>79.58882724240614</v>
      </c>
      <c r="K167" s="28">
        <f>+K17+K29+K41+K53+K65+K77+K89+K101+K113+K125+K137+K149+K161</f>
        <v>153602218.37</v>
      </c>
      <c r="L167" s="28">
        <f>+L17+L29+L41+L53+L65+L77+L89+L101+L113+L125+L137+L149+L161</f>
        <v>152065182.82000002</v>
      </c>
      <c r="M167" s="44">
        <f>(+K167-L167)/L167</f>
        <v>1.0107741440191312E-2</v>
      </c>
      <c r="N167" s="10"/>
      <c r="R167" s="2"/>
    </row>
    <row r="168" spans="1:18" ht="15.75" thickTop="1" x14ac:dyDescent="0.2">
      <c r="A168" s="66"/>
      <c r="B168" s="67"/>
      <c r="C168" s="68"/>
      <c r="D168" s="67"/>
      <c r="E168" s="67"/>
      <c r="F168" s="67"/>
      <c r="G168" s="67"/>
      <c r="H168" s="67"/>
      <c r="I168" s="67"/>
      <c r="J168" s="67"/>
      <c r="K168" s="68"/>
      <c r="L168" s="68"/>
      <c r="M168" s="67"/>
      <c r="R168" s="2"/>
    </row>
    <row r="169" spans="1:18" ht="15.75" x14ac:dyDescent="0.25">
      <c r="A169" s="256" t="s">
        <v>70</v>
      </c>
      <c r="B169" s="258"/>
      <c r="C169" s="259"/>
      <c r="D169" s="259"/>
      <c r="E169" s="259"/>
      <c r="F169" s="260"/>
      <c r="G169" s="257"/>
      <c r="H169" s="257"/>
      <c r="I169" s="261"/>
      <c r="J169" s="261"/>
      <c r="K169" s="262"/>
      <c r="L169" s="262"/>
      <c r="M169" s="261"/>
      <c r="R169" s="2"/>
    </row>
    <row r="170" spans="1:18" ht="18.75" x14ac:dyDescent="0.3">
      <c r="A170" s="266" t="s">
        <v>22</v>
      </c>
      <c r="B170" s="70"/>
      <c r="C170" s="71"/>
      <c r="D170" s="71"/>
      <c r="E170" s="71"/>
      <c r="F170" s="71"/>
      <c r="G170" s="71"/>
      <c r="H170" s="71"/>
      <c r="I170" s="71"/>
      <c r="J170" s="71"/>
      <c r="K170" s="198"/>
      <c r="L170" s="198"/>
      <c r="M170" s="71"/>
      <c r="N170" s="2"/>
      <c r="O170" s="2"/>
      <c r="P170" s="2"/>
      <c r="Q170" s="2"/>
      <c r="R170" s="2"/>
    </row>
    <row r="171" spans="1:18" ht="18" x14ac:dyDescent="0.25">
      <c r="A171" s="69"/>
      <c r="B171" s="70"/>
      <c r="C171" s="71"/>
      <c r="D171" s="71"/>
      <c r="E171" s="71"/>
      <c r="F171" s="71"/>
      <c r="G171" s="71"/>
      <c r="H171" s="71"/>
      <c r="I171" s="71"/>
      <c r="J171" s="71"/>
      <c r="K171" s="198"/>
      <c r="L171" s="198"/>
      <c r="M171" s="71"/>
      <c r="N171" s="2"/>
      <c r="O171" s="2"/>
      <c r="P171" s="2"/>
      <c r="Q171" s="2"/>
      <c r="R171" s="2"/>
    </row>
    <row r="172" spans="1:18" ht="15.75" x14ac:dyDescent="0.25">
      <c r="A172" s="72"/>
      <c r="B172" s="73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x14ac:dyDescent="0.2">
      <c r="A173" s="2"/>
      <c r="B173" s="73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x14ac:dyDescent="0.2">
      <c r="A174" s="2"/>
      <c r="B174" s="73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x14ac:dyDescent="0.2">
      <c r="A175" s="2"/>
      <c r="B175" s="73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x14ac:dyDescent="0.2">
      <c r="A176" s="2"/>
      <c r="B176" s="73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x14ac:dyDescent="0.2">
      <c r="A177" s="2"/>
      <c r="B177" s="73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x14ac:dyDescent="0.2">
      <c r="A178" s="2"/>
      <c r="B178" s="73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x14ac:dyDescent="0.2">
      <c r="A179" s="2"/>
      <c r="B179" s="73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x14ac:dyDescent="0.2">
      <c r="A180" s="2"/>
      <c r="B180" s="73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x14ac:dyDescent="0.2">
      <c r="A181" s="2"/>
      <c r="B181" s="73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4"/>
      <c r="N181" s="2"/>
      <c r="O181" s="2"/>
      <c r="P181" s="2"/>
      <c r="Q181" s="2"/>
      <c r="R181" s="2"/>
    </row>
    <row r="182" spans="1:18" x14ac:dyDescent="0.2">
      <c r="A182" s="2"/>
      <c r="B182" s="73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4"/>
      <c r="N182" s="2"/>
      <c r="O182" s="2"/>
      <c r="P182" s="2"/>
      <c r="Q182" s="2"/>
      <c r="R182" s="2"/>
    </row>
    <row r="183" spans="1:18" x14ac:dyDescent="0.2">
      <c r="A183" s="2"/>
      <c r="B183" s="70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4"/>
      <c r="N183" s="2"/>
      <c r="O183" s="2"/>
      <c r="P183" s="2"/>
      <c r="Q183" s="2"/>
      <c r="R183" s="2"/>
    </row>
    <row r="184" spans="1:18" ht="15.75" x14ac:dyDescent="0.25">
      <c r="A184" s="76"/>
      <c r="B184" s="70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ht="15.75" x14ac:dyDescent="0.25">
      <c r="A185" s="76"/>
      <c r="B185" s="70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ht="15.75" x14ac:dyDescent="0.25">
      <c r="A186" s="76"/>
      <c r="B186" s="70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x14ac:dyDescent="0.2">
      <c r="A187" s="2"/>
      <c r="B187" s="70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ht="15.75" x14ac:dyDescent="0.25">
      <c r="A188" s="76"/>
      <c r="B188" s="73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x14ac:dyDescent="0.2">
      <c r="A189" s="2"/>
      <c r="B189" s="73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x14ac:dyDescent="0.2">
      <c r="A190" s="2"/>
      <c r="B190" s="73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x14ac:dyDescent="0.2">
      <c r="A191" s="2"/>
      <c r="B191" s="77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x14ac:dyDescent="0.2">
      <c r="A192" s="2"/>
      <c r="B192" s="77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x14ac:dyDescent="0.2">
      <c r="A193" s="2"/>
      <c r="B193" s="77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x14ac:dyDescent="0.2">
      <c r="A194" s="2"/>
      <c r="B194" s="77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x14ac:dyDescent="0.2">
      <c r="A195" s="2"/>
      <c r="B195" s="77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x14ac:dyDescent="0.2">
      <c r="A196" s="2"/>
      <c r="B196" s="77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x14ac:dyDescent="0.2">
      <c r="A197" s="2"/>
      <c r="B197" s="77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x14ac:dyDescent="0.2">
      <c r="A198" s="2"/>
      <c r="B198" s="77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x14ac:dyDescent="0.2">
      <c r="A199" s="2"/>
      <c r="B199" s="77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x14ac:dyDescent="0.2">
      <c r="A200" s="2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ht="15.75" x14ac:dyDescent="0.25">
      <c r="A201" s="76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x14ac:dyDescent="0.2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x14ac:dyDescent="0.2">
      <c r="A203" s="2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ht="15.75" x14ac:dyDescent="0.25">
      <c r="A204" s="76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ht="15.75" x14ac:dyDescent="0.25">
      <c r="A205" s="76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ht="15.75" x14ac:dyDescent="0.25">
      <c r="A206" s="76"/>
      <c r="B206" s="77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x14ac:dyDescent="0.2">
      <c r="A207" s="2"/>
      <c r="B207" s="77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x14ac:dyDescent="0.2">
      <c r="A208" s="2"/>
      <c r="B208" s="77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x14ac:dyDescent="0.2">
      <c r="A209" s="2"/>
      <c r="B209" s="77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x14ac:dyDescent="0.2">
      <c r="A210" s="2"/>
      <c r="B210" s="77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x14ac:dyDescent="0.2">
      <c r="A211" s="2"/>
      <c r="B211" s="77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x14ac:dyDescent="0.2">
      <c r="A212" s="2"/>
      <c r="B212" s="77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x14ac:dyDescent="0.2">
      <c r="A213" s="2"/>
      <c r="B213" s="77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x14ac:dyDescent="0.2">
      <c r="A214" s="2"/>
      <c r="B214" s="77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x14ac:dyDescent="0.2">
      <c r="A215" s="2"/>
      <c r="B215" s="77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x14ac:dyDescent="0.2">
      <c r="A216" s="2"/>
      <c r="B216" s="77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x14ac:dyDescent="0.2">
      <c r="A217" s="2"/>
      <c r="B217" s="77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x14ac:dyDescent="0.2">
      <c r="A218" s="2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ht="15.75" x14ac:dyDescent="0.25">
      <c r="A219" s="76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x14ac:dyDescent="0.2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x14ac:dyDescent="0.2">
      <c r="A221" s="2"/>
      <c r="B221" s="2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ht="15.75" x14ac:dyDescent="0.25">
      <c r="A222" s="76"/>
      <c r="B222" s="77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x14ac:dyDescent="0.2">
      <c r="A223" s="2"/>
      <c r="B223" s="77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x14ac:dyDescent="0.2">
      <c r="A224" s="2"/>
      <c r="B224" s="77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x14ac:dyDescent="0.2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x14ac:dyDescent="0.2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x14ac:dyDescent="0.2">
      <c r="A227" s="2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ht="15.75" x14ac:dyDescent="0.25">
      <c r="A228" s="76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x14ac:dyDescent="0.2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x14ac:dyDescent="0.2">
      <c r="A230" s="2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ht="15.75" x14ac:dyDescent="0.25">
      <c r="A231" s="76"/>
      <c r="B231" s="76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x14ac:dyDescent="0.2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x14ac:dyDescent="0.2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x14ac:dyDescent="0.2">
      <c r="A234" s="2"/>
      <c r="B234" s="2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x14ac:dyDescent="0.2">
      <c r="A235" s="2"/>
      <c r="B235" s="2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x14ac:dyDescent="0.2">
      <c r="A236" s="2"/>
      <c r="B236" s="2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x14ac:dyDescent="0.2">
      <c r="A237" s="2"/>
      <c r="B237" s="2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x14ac:dyDescent="0.2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x14ac:dyDescent="0.2">
      <c r="A239" s="2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x14ac:dyDescent="0.2">
      <c r="A240" s="2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x14ac:dyDescent="0.2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x14ac:dyDescent="0.2">
      <c r="A242" s="2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x14ac:dyDescent="0.2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x14ac:dyDescent="0.2">
      <c r="A244" s="2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x14ac:dyDescent="0.2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x14ac:dyDescent="0.2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x14ac:dyDescent="0.2">
      <c r="A247" s="2"/>
      <c r="B247" s="2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x14ac:dyDescent="0.2">
      <c r="A248" s="2"/>
      <c r="B248" s="2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x14ac:dyDescent="0.2">
      <c r="A249" s="2"/>
      <c r="B249" s="2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x14ac:dyDescent="0.2">
      <c r="A250" s="2"/>
      <c r="B250" s="2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x14ac:dyDescent="0.2">
      <c r="A251" s="2"/>
      <c r="B251" s="2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x14ac:dyDescent="0.2">
      <c r="A252" s="2"/>
      <c r="B252" s="2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x14ac:dyDescent="0.2">
      <c r="A253" s="2"/>
      <c r="B253" s="2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x14ac:dyDescent="0.2">
      <c r="A254" s="2"/>
      <c r="B254" s="2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x14ac:dyDescent="0.2">
      <c r="A255" s="2"/>
      <c r="B255" s="2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x14ac:dyDescent="0.2">
      <c r="A256" s="2"/>
      <c r="B256" s="2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x14ac:dyDescent="0.2">
      <c r="A257" s="2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x14ac:dyDescent="0.2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x14ac:dyDescent="0.2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x14ac:dyDescent="0.2">
      <c r="A260" s="2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x14ac:dyDescent="0.2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x14ac:dyDescent="0.2">
      <c r="A262" s="2"/>
      <c r="B262" s="2"/>
      <c r="C262" s="74"/>
      <c r="D262" s="74"/>
      <c r="E262" s="74"/>
      <c r="F262" s="74"/>
      <c r="G262" s="74"/>
      <c r="H262" s="74"/>
      <c r="I262" s="74"/>
      <c r="J262" s="74"/>
      <c r="K262" s="192"/>
      <c r="L262" s="192"/>
      <c r="M262" s="75"/>
      <c r="N262" s="2"/>
      <c r="O262" s="2"/>
      <c r="P262" s="2"/>
      <c r="Q262" s="2"/>
      <c r="R262" s="2"/>
    </row>
    <row r="263" spans="1:18" x14ac:dyDescent="0.2">
      <c r="A263" s="2"/>
      <c r="B263" s="2"/>
      <c r="C263" s="74"/>
      <c r="D263" s="74"/>
      <c r="E263" s="74"/>
      <c r="F263" s="74"/>
      <c r="G263" s="74"/>
      <c r="H263" s="74"/>
      <c r="I263" s="74"/>
      <c r="J263" s="74"/>
      <c r="K263" s="192"/>
      <c r="L263" s="192"/>
      <c r="M263" s="75"/>
      <c r="N263" s="2"/>
      <c r="O263" s="2"/>
      <c r="P263" s="2"/>
      <c r="Q263" s="2"/>
      <c r="R263" s="2"/>
    </row>
    <row r="264" spans="1:18" x14ac:dyDescent="0.2">
      <c r="A264" s="2"/>
      <c r="B264" s="2"/>
      <c r="C264" s="74"/>
      <c r="D264" s="74"/>
      <c r="E264" s="74"/>
      <c r="F264" s="74"/>
      <c r="G264" s="74"/>
      <c r="H264" s="74"/>
      <c r="I264" s="74"/>
      <c r="J264" s="74"/>
      <c r="K264" s="192"/>
      <c r="L264" s="192"/>
      <c r="M264" s="75"/>
      <c r="N264" s="2"/>
      <c r="O264" s="2"/>
      <c r="P264" s="2"/>
      <c r="Q264" s="2"/>
      <c r="R264" s="2"/>
    </row>
    <row r="265" spans="1:18" x14ac:dyDescent="0.2">
      <c r="A265" s="2"/>
      <c r="B265" s="2"/>
      <c r="C265" s="74"/>
      <c r="D265" s="74"/>
      <c r="E265" s="74"/>
      <c r="F265" s="74"/>
      <c r="G265" s="74"/>
      <c r="H265" s="74"/>
      <c r="I265" s="74"/>
      <c r="J265" s="74"/>
      <c r="K265" s="192"/>
      <c r="L265" s="192"/>
      <c r="M265" s="75"/>
      <c r="N265" s="2"/>
      <c r="O265" s="2"/>
      <c r="P265" s="2"/>
      <c r="Q265" s="2"/>
      <c r="R265" s="2"/>
    </row>
    <row r="266" spans="1:18" x14ac:dyDescent="0.2">
      <c r="A266" s="2"/>
      <c r="B266" s="2"/>
      <c r="C266" s="74"/>
      <c r="D266" s="74"/>
      <c r="E266" s="74"/>
      <c r="F266" s="74"/>
      <c r="G266" s="74"/>
      <c r="H266" s="74"/>
      <c r="I266" s="74"/>
      <c r="J266" s="74"/>
      <c r="K266" s="192"/>
      <c r="L266" s="192"/>
      <c r="M266" s="75"/>
      <c r="N266" s="2"/>
      <c r="O266" s="2"/>
      <c r="P266" s="2"/>
      <c r="Q266" s="2"/>
      <c r="R266" s="2"/>
    </row>
    <row r="267" spans="1:18" x14ac:dyDescent="0.2">
      <c r="A267" s="2"/>
      <c r="B267" s="2"/>
      <c r="C267" s="74"/>
      <c r="D267" s="74"/>
      <c r="E267" s="74"/>
      <c r="F267" s="74"/>
      <c r="G267" s="74"/>
      <c r="H267" s="74"/>
      <c r="I267" s="74"/>
      <c r="J267" s="74"/>
      <c r="K267" s="192"/>
      <c r="L267" s="192"/>
      <c r="M267" s="75"/>
      <c r="N267" s="2"/>
      <c r="O267" s="2"/>
      <c r="P267" s="2"/>
      <c r="Q267" s="2"/>
      <c r="R267" s="2"/>
    </row>
    <row r="268" spans="1:18" x14ac:dyDescent="0.2">
      <c r="A268" s="2"/>
      <c r="B268" s="2"/>
      <c r="C268" s="74"/>
      <c r="D268" s="74"/>
      <c r="E268" s="74"/>
      <c r="F268" s="74"/>
      <c r="G268" s="74"/>
      <c r="H268" s="74"/>
      <c r="I268" s="74"/>
      <c r="J268" s="74"/>
      <c r="K268" s="192"/>
      <c r="L268" s="192"/>
      <c r="M268" s="75"/>
      <c r="N268" s="2"/>
      <c r="O268" s="2"/>
      <c r="P268" s="2"/>
      <c r="Q268" s="2"/>
      <c r="R268" s="2"/>
    </row>
    <row r="269" spans="1:18" x14ac:dyDescent="0.2">
      <c r="A269" s="2"/>
      <c r="B269" s="2"/>
      <c r="C269" s="74"/>
      <c r="D269" s="74"/>
      <c r="E269" s="74"/>
      <c r="F269" s="74"/>
      <c r="G269" s="74"/>
      <c r="H269" s="74"/>
      <c r="I269" s="74"/>
      <c r="J269" s="74"/>
      <c r="K269" s="192"/>
      <c r="L269" s="192"/>
      <c r="M269" s="75"/>
      <c r="N269" s="2"/>
      <c r="O269" s="2"/>
      <c r="P269" s="2"/>
      <c r="Q269" s="2"/>
      <c r="R269" s="2"/>
    </row>
    <row r="270" spans="1:18" x14ac:dyDescent="0.2">
      <c r="A270" s="2"/>
      <c r="B270" s="2"/>
      <c r="C270" s="74"/>
      <c r="D270" s="74"/>
      <c r="E270" s="74"/>
      <c r="F270" s="74"/>
      <c r="G270" s="74"/>
      <c r="H270" s="74"/>
      <c r="I270" s="74"/>
      <c r="J270" s="74"/>
      <c r="K270" s="192"/>
      <c r="L270" s="192"/>
      <c r="M270" s="75"/>
      <c r="N270" s="2"/>
      <c r="O270" s="2"/>
      <c r="P270" s="2"/>
      <c r="Q270" s="2"/>
      <c r="R270" s="2"/>
    </row>
    <row r="271" spans="1:18" x14ac:dyDescent="0.2">
      <c r="A271" s="2"/>
      <c r="B271" s="2"/>
      <c r="C271" s="74"/>
      <c r="D271" s="74"/>
      <c r="E271" s="74"/>
      <c r="F271" s="74"/>
      <c r="G271" s="74"/>
      <c r="H271" s="74"/>
      <c r="I271" s="74"/>
      <c r="J271" s="74"/>
      <c r="K271" s="192"/>
      <c r="L271" s="192"/>
      <c r="M271" s="75"/>
      <c r="N271" s="2"/>
      <c r="O271" s="2"/>
      <c r="P271" s="2"/>
      <c r="Q271" s="2"/>
      <c r="R271" s="2"/>
    </row>
    <row r="272" spans="1:18" x14ac:dyDescent="0.2">
      <c r="A272" s="2"/>
      <c r="B272" s="2"/>
      <c r="C272" s="74"/>
      <c r="D272" s="74"/>
      <c r="E272" s="74"/>
      <c r="F272" s="74"/>
      <c r="G272" s="74"/>
      <c r="H272" s="74"/>
      <c r="I272" s="74"/>
      <c r="J272" s="74"/>
      <c r="K272" s="192"/>
      <c r="L272" s="192"/>
      <c r="M272" s="75"/>
      <c r="N272" s="2"/>
      <c r="O272" s="2"/>
      <c r="P272" s="2"/>
      <c r="Q272" s="2"/>
      <c r="R272" s="2"/>
    </row>
    <row r="273" spans="1:18" x14ac:dyDescent="0.2">
      <c r="A273" s="2"/>
      <c r="B273" s="2"/>
      <c r="C273" s="74"/>
      <c r="D273" s="74"/>
      <c r="E273" s="74"/>
      <c r="F273" s="74"/>
      <c r="G273" s="74"/>
      <c r="H273" s="74"/>
      <c r="I273" s="74"/>
      <c r="J273" s="74"/>
      <c r="K273" s="192"/>
      <c r="L273" s="192"/>
      <c r="M273" s="75"/>
      <c r="N273" s="2"/>
      <c r="O273" s="2"/>
      <c r="P273" s="2"/>
      <c r="Q273" s="2"/>
      <c r="R273" s="2"/>
    </row>
    <row r="274" spans="1:18" x14ac:dyDescent="0.2">
      <c r="A274" s="2"/>
      <c r="B274" s="2"/>
      <c r="C274" s="74"/>
      <c r="D274" s="74"/>
      <c r="E274" s="74"/>
      <c r="F274" s="74"/>
      <c r="G274" s="74"/>
      <c r="H274" s="74"/>
      <c r="I274" s="74"/>
      <c r="J274" s="74"/>
      <c r="K274" s="192"/>
      <c r="L274" s="192"/>
      <c r="M274" s="75"/>
      <c r="N274" s="2"/>
      <c r="O274" s="2"/>
      <c r="P274" s="2"/>
      <c r="Q274" s="2"/>
      <c r="R274" s="2"/>
    </row>
    <row r="275" spans="1:18" x14ac:dyDescent="0.2">
      <c r="A275" s="2"/>
      <c r="B275" s="2"/>
      <c r="C275" s="74"/>
      <c r="D275" s="74"/>
      <c r="E275" s="74"/>
      <c r="F275" s="74"/>
      <c r="G275" s="74"/>
      <c r="H275" s="74"/>
      <c r="I275" s="74"/>
      <c r="J275" s="74"/>
      <c r="K275" s="192"/>
      <c r="L275" s="192"/>
      <c r="M275" s="75"/>
      <c r="N275" s="2"/>
      <c r="O275" s="2"/>
      <c r="P275" s="2"/>
      <c r="Q275" s="2"/>
      <c r="R275" s="2"/>
    </row>
    <row r="276" spans="1:18" x14ac:dyDescent="0.2">
      <c r="A276" s="2"/>
      <c r="B276" s="2"/>
      <c r="C276" s="74"/>
      <c r="D276" s="74"/>
      <c r="E276" s="74"/>
      <c r="F276" s="74"/>
      <c r="G276" s="74"/>
      <c r="H276" s="74"/>
      <c r="I276" s="74"/>
      <c r="J276" s="74"/>
      <c r="K276" s="192"/>
      <c r="L276" s="192"/>
      <c r="M276" s="75"/>
      <c r="N276" s="2"/>
      <c r="O276" s="2"/>
      <c r="P276" s="2"/>
      <c r="Q276" s="2"/>
      <c r="R276" s="2"/>
    </row>
    <row r="277" spans="1:18" x14ac:dyDescent="0.2">
      <c r="A277" s="2"/>
      <c r="B277" s="2"/>
      <c r="C277" s="74"/>
      <c r="D277" s="74"/>
      <c r="E277" s="74"/>
      <c r="F277" s="74"/>
      <c r="G277" s="74"/>
      <c r="H277" s="74"/>
      <c r="I277" s="74"/>
      <c r="J277" s="74"/>
      <c r="K277" s="192"/>
      <c r="L277" s="192"/>
      <c r="M277" s="75"/>
      <c r="N277" s="2"/>
      <c r="O277" s="2"/>
      <c r="P277" s="2"/>
      <c r="Q277" s="2"/>
      <c r="R277" s="2"/>
    </row>
    <row r="278" spans="1:18" x14ac:dyDescent="0.2">
      <c r="A278" s="2"/>
      <c r="B278" s="2"/>
      <c r="C278" s="74"/>
      <c r="D278" s="74"/>
      <c r="E278" s="74"/>
      <c r="F278" s="74"/>
      <c r="G278" s="74"/>
      <c r="H278" s="74"/>
      <c r="I278" s="74"/>
      <c r="J278" s="74"/>
      <c r="K278" s="192"/>
      <c r="L278" s="192"/>
      <c r="M278" s="75"/>
      <c r="N278" s="2"/>
      <c r="O278" s="2"/>
      <c r="P278" s="2"/>
      <c r="Q278" s="2"/>
      <c r="R278" s="2"/>
    </row>
    <row r="279" spans="1:18" x14ac:dyDescent="0.2">
      <c r="A279" s="2"/>
      <c r="B279" s="2"/>
      <c r="C279" s="74"/>
      <c r="D279" s="74"/>
      <c r="E279" s="74"/>
      <c r="F279" s="74"/>
      <c r="G279" s="74"/>
      <c r="H279" s="74"/>
      <c r="I279" s="74"/>
      <c r="J279" s="74"/>
      <c r="K279" s="192"/>
      <c r="L279" s="192"/>
      <c r="M279" s="75"/>
      <c r="N279" s="2"/>
      <c r="O279" s="2"/>
      <c r="P279" s="2"/>
      <c r="Q279" s="2"/>
      <c r="R279" s="2"/>
    </row>
    <row r="280" spans="1:18" x14ac:dyDescent="0.2">
      <c r="A280" s="2"/>
      <c r="B280" s="2"/>
      <c r="C280" s="74"/>
      <c r="D280" s="74"/>
      <c r="E280" s="74"/>
      <c r="F280" s="74"/>
      <c r="G280" s="74"/>
      <c r="H280" s="74"/>
      <c r="I280" s="74"/>
      <c r="J280" s="74"/>
      <c r="K280" s="192"/>
      <c r="L280" s="192"/>
      <c r="M280" s="75"/>
      <c r="N280" s="2"/>
      <c r="O280" s="2"/>
      <c r="P280" s="2"/>
      <c r="Q280" s="2"/>
      <c r="R280" s="2"/>
    </row>
    <row r="281" spans="1:18" x14ac:dyDescent="0.2">
      <c r="A281" s="2"/>
      <c r="B281" s="2"/>
      <c r="C281" s="74"/>
      <c r="D281" s="74"/>
      <c r="E281" s="74"/>
      <c r="F281" s="74"/>
      <c r="G281" s="74"/>
      <c r="H281" s="74"/>
      <c r="I281" s="74"/>
      <c r="J281" s="74"/>
      <c r="K281" s="192"/>
      <c r="L281" s="192"/>
      <c r="M281" s="75"/>
      <c r="N281" s="2"/>
      <c r="O281" s="2"/>
      <c r="P281" s="2"/>
      <c r="Q281" s="2"/>
      <c r="R281" s="2"/>
    </row>
    <row r="282" spans="1:18" x14ac:dyDescent="0.2">
      <c r="A282" s="2"/>
      <c r="B282" s="2"/>
      <c r="C282" s="74"/>
      <c r="D282" s="74"/>
      <c r="E282" s="74"/>
      <c r="F282" s="74"/>
      <c r="G282" s="74"/>
      <c r="H282" s="74"/>
      <c r="I282" s="74"/>
      <c r="J282" s="74"/>
      <c r="K282" s="192"/>
      <c r="L282" s="192"/>
      <c r="M282" s="75"/>
      <c r="N282" s="2"/>
      <c r="O282" s="2"/>
      <c r="P282" s="2"/>
      <c r="Q282" s="2"/>
      <c r="R282" s="2"/>
    </row>
    <row r="283" spans="1:18" x14ac:dyDescent="0.2">
      <c r="A283" s="2"/>
      <c r="B283" s="2"/>
      <c r="C283" s="74"/>
      <c r="D283" s="74"/>
      <c r="E283" s="74"/>
      <c r="F283" s="74"/>
      <c r="G283" s="74"/>
      <c r="H283" s="74"/>
      <c r="I283" s="74"/>
      <c r="J283" s="74"/>
      <c r="K283" s="192"/>
      <c r="L283" s="192"/>
      <c r="M283" s="75"/>
      <c r="N283" s="2"/>
      <c r="O283" s="2"/>
      <c r="P283" s="2"/>
      <c r="Q283" s="2"/>
      <c r="R283" s="2"/>
    </row>
    <row r="284" spans="1:18" x14ac:dyDescent="0.2">
      <c r="A284" s="2"/>
      <c r="B284" s="2"/>
      <c r="C284" s="74"/>
      <c r="D284" s="74"/>
      <c r="E284" s="74"/>
      <c r="F284" s="74"/>
      <c r="G284" s="74"/>
      <c r="H284" s="74"/>
      <c r="I284" s="74"/>
      <c r="J284" s="74"/>
      <c r="K284" s="192"/>
      <c r="L284" s="192"/>
      <c r="M284" s="75"/>
      <c r="N284" s="2"/>
      <c r="O284" s="2"/>
      <c r="P284" s="2"/>
      <c r="Q284" s="2"/>
      <c r="R284" s="2"/>
    </row>
    <row r="285" spans="1:18" x14ac:dyDescent="0.2">
      <c r="A285" s="2"/>
      <c r="B285" s="2"/>
      <c r="C285" s="74"/>
      <c r="D285" s="74"/>
      <c r="E285" s="74"/>
      <c r="F285" s="74"/>
      <c r="G285" s="74"/>
      <c r="H285" s="74"/>
      <c r="I285" s="74"/>
      <c r="J285" s="74"/>
      <c r="K285" s="192"/>
      <c r="L285" s="192"/>
      <c r="M285" s="75"/>
      <c r="N285" s="2"/>
      <c r="O285" s="2"/>
      <c r="P285" s="2"/>
      <c r="Q285" s="2"/>
      <c r="R285" s="2"/>
    </row>
    <row r="286" spans="1:18" x14ac:dyDescent="0.2">
      <c r="A286" s="2"/>
      <c r="B286" s="2"/>
      <c r="C286" s="74"/>
      <c r="D286" s="74"/>
      <c r="E286" s="74"/>
      <c r="F286" s="74"/>
      <c r="G286" s="74"/>
      <c r="H286" s="74"/>
      <c r="I286" s="74"/>
      <c r="J286" s="74"/>
      <c r="K286" s="192"/>
      <c r="L286" s="192"/>
      <c r="M286" s="75"/>
      <c r="N286" s="2"/>
      <c r="O286" s="2"/>
      <c r="P286" s="2"/>
      <c r="Q286" s="2"/>
      <c r="R286" s="2"/>
    </row>
    <row r="287" spans="1:18" x14ac:dyDescent="0.2">
      <c r="A287" s="2"/>
      <c r="B287" s="2"/>
      <c r="C287" s="74"/>
      <c r="D287" s="74"/>
      <c r="E287" s="74"/>
      <c r="F287" s="74"/>
      <c r="G287" s="74"/>
      <c r="H287" s="74"/>
      <c r="I287" s="74"/>
      <c r="J287" s="74"/>
      <c r="K287" s="192"/>
      <c r="L287" s="192"/>
      <c r="M287" s="75"/>
      <c r="N287" s="2"/>
      <c r="O287" s="2"/>
      <c r="P287" s="2"/>
      <c r="Q287" s="2"/>
      <c r="R287" s="2"/>
    </row>
    <row r="288" spans="1:18" x14ac:dyDescent="0.2">
      <c r="A288" s="2"/>
      <c r="B288" s="2"/>
      <c r="C288" s="74"/>
      <c r="D288" s="74"/>
      <c r="E288" s="74"/>
      <c r="F288" s="74"/>
      <c r="G288" s="74"/>
      <c r="H288" s="74"/>
      <c r="I288" s="74"/>
      <c r="J288" s="74"/>
      <c r="K288" s="192"/>
      <c r="L288" s="192"/>
      <c r="M288" s="75"/>
      <c r="N288" s="2"/>
      <c r="O288" s="2"/>
      <c r="P288" s="2"/>
      <c r="Q288" s="2"/>
      <c r="R288" s="2"/>
    </row>
    <row r="289" spans="1:18" x14ac:dyDescent="0.2">
      <c r="A289" s="2"/>
      <c r="B289" s="2"/>
      <c r="C289" s="74"/>
      <c r="D289" s="74"/>
      <c r="E289" s="74"/>
      <c r="F289" s="74"/>
      <c r="G289" s="74"/>
      <c r="H289" s="74"/>
      <c r="I289" s="74"/>
      <c r="J289" s="74"/>
      <c r="K289" s="192"/>
      <c r="L289" s="192"/>
      <c r="M289" s="75"/>
      <c r="N289" s="2"/>
      <c r="O289" s="2"/>
      <c r="P289" s="2"/>
      <c r="Q289" s="2"/>
      <c r="R289" s="2"/>
    </row>
    <row r="290" spans="1:18" x14ac:dyDescent="0.2">
      <c r="A290" s="2"/>
      <c r="B290" s="2"/>
      <c r="C290" s="74"/>
      <c r="D290" s="74"/>
      <c r="E290" s="74"/>
      <c r="F290" s="74"/>
      <c r="G290" s="74"/>
      <c r="H290" s="74"/>
      <c r="I290" s="74"/>
      <c r="J290" s="74"/>
      <c r="K290" s="192"/>
      <c r="L290" s="192"/>
      <c r="M290" s="75"/>
      <c r="N290" s="2"/>
      <c r="O290" s="2"/>
      <c r="P290" s="2"/>
      <c r="Q290" s="2"/>
      <c r="R290" s="2"/>
    </row>
    <row r="291" spans="1:18" x14ac:dyDescent="0.2">
      <c r="A291" s="2"/>
      <c r="B291" s="2"/>
      <c r="C291" s="74"/>
      <c r="D291" s="74"/>
      <c r="E291" s="74"/>
      <c r="F291" s="74"/>
      <c r="G291" s="74"/>
      <c r="H291" s="74"/>
      <c r="I291" s="74"/>
      <c r="J291" s="74"/>
      <c r="K291" s="192"/>
      <c r="L291" s="192"/>
      <c r="M291" s="75"/>
      <c r="N291" s="2"/>
      <c r="O291" s="2"/>
      <c r="P291" s="2"/>
      <c r="Q291" s="2"/>
      <c r="R291" s="2"/>
    </row>
    <row r="292" spans="1:18" x14ac:dyDescent="0.2">
      <c r="A292" s="2"/>
      <c r="B292" s="2"/>
      <c r="C292" s="74"/>
      <c r="D292" s="74"/>
      <c r="E292" s="74"/>
      <c r="F292" s="74"/>
      <c r="G292" s="74"/>
      <c r="H292" s="74"/>
      <c r="I292" s="74"/>
      <c r="J292" s="74"/>
      <c r="K292" s="192"/>
      <c r="L292" s="192"/>
      <c r="M292" s="75"/>
      <c r="N292" s="2"/>
      <c r="O292" s="2"/>
      <c r="P292" s="2"/>
      <c r="Q292" s="2"/>
      <c r="R292" s="2"/>
    </row>
    <row r="293" spans="1:18" x14ac:dyDescent="0.2">
      <c r="A293" s="2"/>
      <c r="B293" s="2"/>
      <c r="C293" s="74"/>
      <c r="D293" s="74"/>
      <c r="E293" s="74"/>
      <c r="F293" s="74"/>
      <c r="G293" s="74"/>
      <c r="H293" s="74"/>
      <c r="I293" s="74"/>
      <c r="J293" s="74"/>
      <c r="K293" s="192"/>
      <c r="L293" s="192"/>
      <c r="M293" s="75"/>
      <c r="N293" s="2"/>
      <c r="O293" s="2"/>
      <c r="P293" s="2"/>
      <c r="Q293" s="2"/>
      <c r="R293" s="2"/>
    </row>
    <row r="294" spans="1:18" x14ac:dyDescent="0.2">
      <c r="A294" s="2"/>
      <c r="B294" s="2"/>
      <c r="C294" s="74"/>
      <c r="D294" s="74"/>
      <c r="E294" s="74"/>
      <c r="F294" s="74"/>
      <c r="G294" s="74"/>
      <c r="H294" s="74"/>
      <c r="I294" s="74"/>
      <c r="J294" s="74"/>
      <c r="K294" s="192"/>
      <c r="L294" s="192"/>
      <c r="M294" s="75"/>
      <c r="N294" s="2"/>
      <c r="O294" s="2"/>
      <c r="P294" s="2"/>
      <c r="Q294" s="2"/>
      <c r="R294" s="2"/>
    </row>
    <row r="295" spans="1:18" x14ac:dyDescent="0.2">
      <c r="A295" s="2"/>
      <c r="B295" s="2"/>
      <c r="C295" s="74"/>
      <c r="D295" s="74"/>
      <c r="E295" s="74"/>
      <c r="F295" s="74"/>
      <c r="G295" s="74"/>
      <c r="H295" s="74"/>
      <c r="I295" s="74"/>
      <c r="J295" s="74"/>
      <c r="K295" s="192"/>
      <c r="L295" s="192"/>
      <c r="M295" s="75"/>
      <c r="N295" s="2"/>
      <c r="O295" s="2"/>
      <c r="P295" s="2"/>
      <c r="Q295" s="2"/>
      <c r="R295" s="2"/>
    </row>
    <row r="296" spans="1:18" x14ac:dyDescent="0.2">
      <c r="A296" s="2"/>
      <c r="B296" s="2"/>
      <c r="C296" s="74"/>
      <c r="D296" s="74"/>
      <c r="E296" s="74"/>
      <c r="F296" s="74"/>
      <c r="G296" s="74"/>
      <c r="H296" s="74"/>
      <c r="I296" s="74"/>
      <c r="J296" s="74"/>
      <c r="K296" s="192"/>
      <c r="L296" s="192"/>
      <c r="M296" s="75"/>
      <c r="N296" s="2"/>
      <c r="O296" s="2"/>
      <c r="P296" s="2"/>
      <c r="Q296" s="2"/>
      <c r="R296" s="2"/>
    </row>
    <row r="297" spans="1:18" x14ac:dyDescent="0.2">
      <c r="A297" s="2"/>
      <c r="B297" s="2"/>
      <c r="C297" s="74"/>
      <c r="D297" s="74"/>
      <c r="E297" s="74"/>
      <c r="F297" s="74"/>
      <c r="G297" s="74"/>
      <c r="H297" s="74"/>
      <c r="I297" s="74"/>
      <c r="J297" s="74"/>
      <c r="K297" s="192"/>
      <c r="L297" s="192"/>
      <c r="M297" s="75"/>
      <c r="N297" s="2"/>
      <c r="O297" s="2"/>
      <c r="P297" s="2"/>
      <c r="Q297" s="2"/>
      <c r="R297" s="2"/>
    </row>
    <row r="298" spans="1:18" x14ac:dyDescent="0.2">
      <c r="A298" s="2"/>
      <c r="B298" s="2"/>
      <c r="C298" s="74"/>
      <c r="D298" s="74"/>
      <c r="E298" s="74"/>
      <c r="F298" s="74"/>
      <c r="G298" s="74"/>
      <c r="H298" s="74"/>
      <c r="I298" s="74"/>
      <c r="J298" s="74"/>
      <c r="K298" s="192"/>
      <c r="L298" s="192"/>
      <c r="M298" s="75"/>
      <c r="N298" s="2"/>
      <c r="O298" s="2"/>
      <c r="P298" s="2"/>
      <c r="Q298" s="2"/>
      <c r="R298" s="2"/>
    </row>
    <row r="299" spans="1:18" x14ac:dyDescent="0.2">
      <c r="A299" s="2"/>
      <c r="B299" s="2"/>
      <c r="C299" s="74"/>
      <c r="D299" s="74"/>
      <c r="E299" s="74"/>
      <c r="F299" s="74"/>
      <c r="G299" s="74"/>
      <c r="H299" s="74"/>
      <c r="I299" s="74"/>
      <c r="J299" s="74"/>
      <c r="K299" s="192"/>
      <c r="L299" s="192"/>
      <c r="M299" s="75"/>
      <c r="N299" s="2"/>
      <c r="O299" s="2"/>
      <c r="P299" s="2"/>
      <c r="Q299" s="2"/>
      <c r="R299" s="2"/>
    </row>
    <row r="300" spans="1:18" x14ac:dyDescent="0.2">
      <c r="A300" s="2"/>
      <c r="B300" s="2"/>
      <c r="C300" s="74"/>
      <c r="D300" s="74"/>
      <c r="E300" s="74"/>
      <c r="F300" s="74"/>
      <c r="G300" s="74"/>
      <c r="H300" s="74"/>
      <c r="I300" s="74"/>
      <c r="J300" s="74"/>
      <c r="K300" s="192"/>
      <c r="L300" s="192"/>
      <c r="M300" s="75"/>
      <c r="N300" s="2"/>
      <c r="O300" s="2"/>
      <c r="P300" s="2"/>
      <c r="Q300" s="2"/>
      <c r="R300" s="2"/>
    </row>
    <row r="301" spans="1:18" x14ac:dyDescent="0.2">
      <c r="A301" s="2"/>
      <c r="B301" s="2"/>
      <c r="C301" s="74"/>
      <c r="D301" s="74"/>
      <c r="E301" s="74"/>
      <c r="F301" s="74"/>
      <c r="G301" s="74"/>
      <c r="H301" s="74"/>
      <c r="I301" s="74"/>
      <c r="J301" s="74"/>
      <c r="K301" s="192"/>
      <c r="L301" s="192"/>
      <c r="M301" s="75"/>
      <c r="N301" s="2"/>
      <c r="O301" s="2"/>
      <c r="P301" s="2"/>
      <c r="Q301" s="2"/>
      <c r="R301" s="2"/>
    </row>
    <row r="302" spans="1:18" x14ac:dyDescent="0.2">
      <c r="A302" s="2"/>
      <c r="B302" s="2"/>
      <c r="C302" s="74"/>
      <c r="D302" s="74"/>
      <c r="E302" s="74"/>
      <c r="F302" s="74"/>
      <c r="G302" s="74"/>
      <c r="H302" s="74"/>
      <c r="I302" s="74"/>
      <c r="J302" s="74"/>
      <c r="K302" s="192"/>
      <c r="L302" s="192"/>
      <c r="M302" s="75"/>
      <c r="N302" s="2"/>
      <c r="O302" s="2"/>
      <c r="P302" s="2"/>
      <c r="Q302" s="2"/>
      <c r="R302" s="2"/>
    </row>
    <row r="303" spans="1:18" x14ac:dyDescent="0.2">
      <c r="A303" s="2"/>
      <c r="B303" s="2"/>
      <c r="C303" s="74"/>
      <c r="D303" s="74"/>
      <c r="E303" s="74"/>
      <c r="F303" s="74"/>
      <c r="G303" s="74"/>
      <c r="H303" s="74"/>
      <c r="I303" s="74"/>
      <c r="J303" s="74"/>
      <c r="K303" s="192"/>
      <c r="L303" s="192"/>
      <c r="M303" s="75"/>
      <c r="N303" s="2"/>
      <c r="O303" s="2"/>
      <c r="P303" s="2"/>
      <c r="Q303" s="2"/>
      <c r="R303" s="2"/>
    </row>
    <row r="304" spans="1:18" x14ac:dyDescent="0.2">
      <c r="A304" s="2"/>
      <c r="B304" s="2"/>
      <c r="C304" s="74"/>
      <c r="D304" s="74"/>
      <c r="E304" s="74"/>
      <c r="F304" s="74"/>
      <c r="G304" s="74"/>
      <c r="H304" s="74"/>
      <c r="I304" s="74"/>
      <c r="J304" s="74"/>
      <c r="K304" s="192"/>
      <c r="L304" s="192"/>
      <c r="M304" s="75"/>
      <c r="N304" s="2"/>
      <c r="O304" s="2"/>
      <c r="P304" s="2"/>
      <c r="Q304" s="2"/>
      <c r="R304" s="2"/>
    </row>
    <row r="305" spans="1:18" x14ac:dyDescent="0.2">
      <c r="A305" s="2"/>
      <c r="B305" s="2"/>
      <c r="C305" s="74"/>
      <c r="D305" s="74"/>
      <c r="E305" s="74"/>
      <c r="F305" s="74"/>
      <c r="G305" s="74"/>
      <c r="H305" s="74"/>
      <c r="I305" s="74"/>
      <c r="J305" s="74"/>
      <c r="K305" s="192"/>
      <c r="L305" s="192"/>
      <c r="M305" s="75"/>
      <c r="N305" s="2"/>
      <c r="O305" s="2"/>
      <c r="P305" s="2"/>
      <c r="Q305" s="2"/>
      <c r="R305" s="2"/>
    </row>
    <row r="306" spans="1:18" x14ac:dyDescent="0.2">
      <c r="A306" s="2"/>
      <c r="B306" s="2"/>
      <c r="C306" s="74"/>
      <c r="D306" s="74"/>
      <c r="E306" s="74"/>
      <c r="F306" s="74"/>
      <c r="G306" s="74"/>
      <c r="H306" s="74"/>
      <c r="I306" s="74"/>
      <c r="J306" s="74"/>
      <c r="K306" s="192"/>
      <c r="L306" s="192"/>
      <c r="M306" s="75"/>
      <c r="N306" s="2"/>
      <c r="O306" s="2"/>
      <c r="P306" s="2"/>
      <c r="Q306" s="2"/>
      <c r="R306" s="2"/>
    </row>
    <row r="307" spans="1:18" x14ac:dyDescent="0.2">
      <c r="A307" s="2"/>
      <c r="B307" s="2"/>
      <c r="C307" s="74"/>
      <c r="D307" s="74"/>
      <c r="E307" s="74"/>
      <c r="F307" s="74"/>
      <c r="G307" s="74"/>
      <c r="H307" s="74"/>
      <c r="I307" s="74"/>
      <c r="J307" s="74"/>
      <c r="K307" s="192"/>
      <c r="L307" s="192"/>
      <c r="M307" s="75"/>
      <c r="N307" s="2"/>
      <c r="O307" s="2"/>
      <c r="P307" s="2"/>
      <c r="Q307" s="2"/>
      <c r="R307" s="2"/>
    </row>
    <row r="308" spans="1:18" x14ac:dyDescent="0.2">
      <c r="A308" s="2"/>
      <c r="B308" s="2"/>
      <c r="C308" s="74"/>
      <c r="D308" s="74"/>
      <c r="E308" s="74"/>
      <c r="F308" s="74"/>
      <c r="G308" s="74"/>
      <c r="H308" s="74"/>
      <c r="I308" s="74"/>
      <c r="J308" s="74"/>
      <c r="K308" s="192"/>
      <c r="L308" s="192"/>
      <c r="M308" s="75"/>
      <c r="N308" s="2"/>
      <c r="O308" s="2"/>
      <c r="P308" s="2"/>
      <c r="Q308" s="2"/>
      <c r="R308" s="2"/>
    </row>
    <row r="309" spans="1:18" x14ac:dyDescent="0.2">
      <c r="A309" s="2"/>
      <c r="B309" s="2"/>
      <c r="C309" s="74"/>
      <c r="D309" s="74"/>
      <c r="E309" s="74"/>
      <c r="F309" s="74"/>
      <c r="G309" s="74"/>
      <c r="H309" s="74"/>
      <c r="I309" s="74"/>
      <c r="J309" s="74"/>
      <c r="K309" s="192"/>
      <c r="L309" s="192"/>
      <c r="M309" s="75"/>
      <c r="N309" s="2"/>
      <c r="O309" s="2"/>
      <c r="P309" s="2"/>
      <c r="Q309" s="2"/>
      <c r="R309" s="2"/>
    </row>
    <row r="310" spans="1:18" x14ac:dyDescent="0.2">
      <c r="A310" s="2"/>
      <c r="B310" s="2"/>
      <c r="C310" s="74"/>
      <c r="D310" s="74"/>
      <c r="E310" s="74"/>
      <c r="F310" s="74"/>
      <c r="G310" s="74"/>
      <c r="H310" s="74"/>
      <c r="I310" s="74"/>
      <c r="J310" s="74"/>
      <c r="K310" s="192"/>
      <c r="L310" s="192"/>
      <c r="M310" s="75"/>
      <c r="N310" s="2"/>
      <c r="O310" s="2"/>
      <c r="P310" s="2"/>
      <c r="Q310" s="2"/>
      <c r="R310" s="2"/>
    </row>
    <row r="311" spans="1:18" x14ac:dyDescent="0.2">
      <c r="A311" s="2"/>
      <c r="B311" s="2"/>
      <c r="C311" s="74"/>
      <c r="D311" s="74"/>
      <c r="E311" s="74"/>
      <c r="F311" s="74"/>
      <c r="G311" s="74"/>
      <c r="H311" s="74"/>
      <c r="I311" s="74"/>
      <c r="J311" s="74"/>
      <c r="K311" s="192"/>
      <c r="L311" s="192"/>
      <c r="M311" s="75"/>
      <c r="N311" s="2"/>
      <c r="O311" s="2"/>
      <c r="P311" s="2"/>
      <c r="Q311" s="2"/>
      <c r="R311" s="2"/>
    </row>
    <row r="312" spans="1:18" x14ac:dyDescent="0.2">
      <c r="A312" s="2"/>
      <c r="B312" s="2"/>
      <c r="C312" s="74"/>
      <c r="D312" s="74"/>
      <c r="E312" s="74"/>
      <c r="F312" s="74"/>
      <c r="G312" s="74"/>
      <c r="H312" s="74"/>
      <c r="I312" s="74"/>
      <c r="J312" s="74"/>
      <c r="K312" s="192"/>
      <c r="L312" s="192"/>
      <c r="M312" s="75"/>
      <c r="N312" s="2"/>
      <c r="O312" s="2"/>
      <c r="P312" s="2"/>
      <c r="Q312" s="2"/>
      <c r="R312" s="2"/>
    </row>
    <row r="313" spans="1:18" x14ac:dyDescent="0.2">
      <c r="A313" s="2"/>
      <c r="B313" s="2"/>
      <c r="C313" s="74"/>
      <c r="D313" s="74"/>
      <c r="E313" s="74"/>
      <c r="F313" s="74"/>
      <c r="G313" s="74"/>
      <c r="H313" s="74"/>
      <c r="I313" s="74"/>
      <c r="J313" s="74"/>
      <c r="K313" s="192"/>
      <c r="L313" s="192"/>
      <c r="M313" s="75"/>
      <c r="N313" s="2"/>
      <c r="O313" s="2"/>
      <c r="P313" s="2"/>
      <c r="Q313" s="2"/>
      <c r="R313" s="2"/>
    </row>
    <row r="314" spans="1:18" x14ac:dyDescent="0.2">
      <c r="A314" s="2"/>
      <c r="B314" s="2"/>
      <c r="C314" s="74"/>
      <c r="D314" s="74"/>
      <c r="E314" s="74"/>
      <c r="F314" s="74"/>
      <c r="G314" s="74"/>
      <c r="H314" s="74"/>
      <c r="I314" s="74"/>
      <c r="J314" s="74"/>
      <c r="K314" s="192"/>
      <c r="L314" s="192"/>
      <c r="M314" s="75"/>
      <c r="N314" s="2"/>
      <c r="O314" s="2"/>
      <c r="P314" s="2"/>
      <c r="Q314" s="2"/>
      <c r="R314" s="2"/>
    </row>
    <row r="315" spans="1:18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  <row r="388" spans="1:18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2"/>
      <c r="L388" s="192"/>
      <c r="M388" s="75"/>
      <c r="N388" s="2"/>
      <c r="O388" s="2"/>
      <c r="P388" s="2"/>
      <c r="Q388" s="2"/>
      <c r="R388" s="2"/>
    </row>
    <row r="389" spans="1:18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2"/>
      <c r="L389" s="192"/>
      <c r="M389" s="75"/>
      <c r="N389" s="2"/>
      <c r="O389" s="2"/>
      <c r="P389" s="2"/>
      <c r="Q389" s="2"/>
      <c r="R389" s="2"/>
    </row>
    <row r="390" spans="1:18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2"/>
      <c r="L390" s="192"/>
      <c r="M390" s="75"/>
      <c r="N390" s="2"/>
      <c r="O390" s="2"/>
      <c r="P390" s="2"/>
      <c r="Q390" s="2"/>
      <c r="R390" s="2"/>
    </row>
    <row r="391" spans="1:18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2"/>
      <c r="L391" s="192"/>
      <c r="M391" s="75"/>
      <c r="N391" s="2"/>
      <c r="O391" s="2"/>
      <c r="P391" s="2"/>
      <c r="Q391" s="2"/>
      <c r="R391" s="2"/>
    </row>
    <row r="392" spans="1:18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2"/>
      <c r="L392" s="192"/>
      <c r="M392" s="75"/>
      <c r="N392" s="2"/>
      <c r="O392" s="2"/>
      <c r="P392" s="2"/>
      <c r="Q392" s="2"/>
      <c r="R392" s="2"/>
    </row>
    <row r="393" spans="1:18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2"/>
      <c r="L393" s="192"/>
      <c r="M393" s="75"/>
      <c r="N393" s="2"/>
      <c r="O393" s="2"/>
      <c r="P393" s="2"/>
      <c r="Q393" s="2"/>
      <c r="R393" s="2"/>
    </row>
    <row r="394" spans="1:18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2"/>
      <c r="L394" s="192"/>
      <c r="M394" s="75"/>
      <c r="N394" s="2"/>
      <c r="O394" s="2"/>
      <c r="P394" s="2"/>
      <c r="Q394" s="2"/>
      <c r="R394" s="2"/>
    </row>
    <row r="395" spans="1:18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2"/>
      <c r="L395" s="192"/>
      <c r="M395" s="75"/>
      <c r="N395" s="2"/>
      <c r="O395" s="2"/>
      <c r="P395" s="2"/>
      <c r="Q395" s="2"/>
      <c r="R395" s="2"/>
    </row>
    <row r="396" spans="1:18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2"/>
      <c r="L396" s="192"/>
      <c r="M396" s="75"/>
      <c r="N396" s="2"/>
      <c r="O396" s="2"/>
      <c r="P396" s="2"/>
      <c r="Q396" s="2"/>
      <c r="R396" s="2"/>
    </row>
    <row r="397" spans="1:18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2"/>
      <c r="L397" s="192"/>
      <c r="M397" s="75"/>
      <c r="N397" s="2"/>
      <c r="O397" s="2"/>
      <c r="P397" s="2"/>
      <c r="Q397" s="2"/>
      <c r="R397" s="2"/>
    </row>
    <row r="398" spans="1:18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2"/>
      <c r="L398" s="192"/>
      <c r="M398" s="75"/>
      <c r="N398" s="2"/>
      <c r="O398" s="2"/>
      <c r="P398" s="2"/>
      <c r="Q398" s="2"/>
      <c r="R398" s="2"/>
    </row>
    <row r="399" spans="1:18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2"/>
      <c r="L399" s="192"/>
      <c r="M399" s="75"/>
      <c r="N399" s="2"/>
      <c r="O399" s="2"/>
      <c r="P399" s="2"/>
      <c r="Q399" s="2"/>
      <c r="R399" s="2"/>
    </row>
    <row r="400" spans="1:18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2"/>
      <c r="L400" s="192"/>
      <c r="M400" s="75"/>
      <c r="N400" s="2"/>
      <c r="O400" s="2"/>
      <c r="P400" s="2"/>
      <c r="Q400" s="2"/>
      <c r="R400" s="2"/>
    </row>
    <row r="401" spans="1:18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92"/>
      <c r="L401" s="192"/>
      <c r="M401" s="75"/>
      <c r="N401" s="2"/>
      <c r="O401" s="2"/>
      <c r="P401" s="2"/>
      <c r="Q401" s="2"/>
      <c r="R401" s="2"/>
    </row>
    <row r="402" spans="1:18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92"/>
      <c r="L402" s="192"/>
      <c r="M402" s="75"/>
      <c r="N402" s="2"/>
      <c r="O402" s="2"/>
      <c r="P402" s="2"/>
      <c r="Q402" s="2"/>
      <c r="R402" s="2"/>
    </row>
    <row r="403" spans="1:18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92"/>
      <c r="L403" s="192"/>
      <c r="M403" s="75"/>
      <c r="N403" s="2"/>
      <c r="O403" s="2"/>
      <c r="P403" s="2"/>
      <c r="Q403" s="2"/>
      <c r="R403" s="2"/>
    </row>
    <row r="404" spans="1:18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92"/>
      <c r="L404" s="192"/>
      <c r="M404" s="75"/>
      <c r="N404" s="2"/>
      <c r="O404" s="2"/>
      <c r="P404" s="2"/>
      <c r="Q404" s="2"/>
      <c r="R404" s="2"/>
    </row>
    <row r="405" spans="1:18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92"/>
      <c r="L405" s="192"/>
      <c r="M405" s="75"/>
      <c r="N405" s="2"/>
      <c r="O405" s="2"/>
      <c r="P405" s="2"/>
      <c r="Q405" s="2"/>
      <c r="R405" s="2"/>
    </row>
    <row r="406" spans="1:18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92"/>
      <c r="L406" s="192"/>
      <c r="M406" s="75"/>
      <c r="N406" s="2"/>
      <c r="O406" s="2"/>
      <c r="P406" s="2"/>
      <c r="Q406" s="2"/>
      <c r="R406" s="2"/>
    </row>
    <row r="407" spans="1:18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92"/>
      <c r="L407" s="192"/>
      <c r="M407" s="75"/>
      <c r="N407" s="2"/>
      <c r="O407" s="2"/>
      <c r="P407" s="2"/>
      <c r="Q407" s="2"/>
      <c r="R407" s="2"/>
    </row>
    <row r="408" spans="1:18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92"/>
      <c r="L408" s="192"/>
      <c r="M408" s="75"/>
      <c r="N408" s="2"/>
      <c r="O408" s="2"/>
      <c r="P408" s="2"/>
      <c r="Q408" s="2"/>
      <c r="R408" s="2"/>
    </row>
    <row r="409" spans="1:18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92"/>
      <c r="L409" s="192"/>
      <c r="M409" s="75"/>
      <c r="N409" s="2"/>
      <c r="O409" s="2"/>
      <c r="P409" s="2"/>
      <c r="Q409" s="2"/>
      <c r="R409" s="2"/>
    </row>
    <row r="410" spans="1:18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92"/>
      <c r="L410" s="192"/>
      <c r="M410" s="75"/>
      <c r="N410" s="2"/>
      <c r="O410" s="2"/>
      <c r="P410" s="2"/>
      <c r="Q410" s="2"/>
      <c r="R410" s="2"/>
    </row>
    <row r="411" spans="1:18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92"/>
      <c r="L411" s="192"/>
      <c r="M411" s="75"/>
      <c r="N411" s="2"/>
      <c r="O411" s="2"/>
      <c r="P411" s="2"/>
      <c r="Q411" s="2"/>
      <c r="R411" s="2"/>
    </row>
    <row r="412" spans="1:18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92"/>
      <c r="L412" s="192"/>
      <c r="M412" s="75"/>
      <c r="N412" s="2"/>
      <c r="O412" s="2"/>
      <c r="P412" s="2"/>
      <c r="Q412" s="2"/>
      <c r="R412" s="2"/>
    </row>
    <row r="413" spans="1:18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92"/>
      <c r="L413" s="192"/>
      <c r="M413" s="75"/>
      <c r="N413" s="2"/>
      <c r="O413" s="2"/>
      <c r="P413" s="2"/>
      <c r="Q413" s="2"/>
      <c r="R413" s="2"/>
    </row>
    <row r="414" spans="1:18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92"/>
      <c r="L414" s="192"/>
      <c r="M414" s="75"/>
      <c r="N414" s="2"/>
      <c r="O414" s="2"/>
      <c r="P414" s="2"/>
      <c r="Q414" s="2"/>
      <c r="R414" s="2"/>
    </row>
    <row r="415" spans="1:18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92"/>
      <c r="L415" s="192"/>
      <c r="M415" s="75"/>
      <c r="N415" s="2"/>
      <c r="O415" s="2"/>
      <c r="P415" s="2"/>
      <c r="Q415" s="2"/>
      <c r="R415" s="2"/>
    </row>
    <row r="416" spans="1:18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92"/>
      <c r="L416" s="192"/>
      <c r="M416" s="75"/>
      <c r="N416" s="2"/>
      <c r="O416" s="2"/>
      <c r="P416" s="2"/>
      <c r="Q416" s="2"/>
      <c r="R416" s="2"/>
    </row>
    <row r="417" spans="1:18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92"/>
      <c r="L417" s="192"/>
      <c r="M417" s="75"/>
      <c r="N417" s="2"/>
      <c r="O417" s="2"/>
      <c r="P417" s="2"/>
      <c r="Q417" s="2"/>
      <c r="R417" s="2"/>
    </row>
    <row r="418" spans="1:18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92"/>
      <c r="L418" s="192"/>
      <c r="M418" s="75"/>
      <c r="N418" s="2"/>
      <c r="O418" s="2"/>
      <c r="P418" s="2"/>
      <c r="Q418" s="2"/>
      <c r="R418" s="2"/>
    </row>
    <row r="419" spans="1:18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92"/>
      <c r="L419" s="192"/>
      <c r="M419" s="75"/>
      <c r="N419" s="2"/>
      <c r="O419" s="2"/>
      <c r="P419" s="2"/>
      <c r="Q419" s="2"/>
      <c r="R419" s="2"/>
    </row>
    <row r="420" spans="1:18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92"/>
      <c r="L420" s="192"/>
      <c r="M420" s="75"/>
      <c r="N420" s="2"/>
      <c r="O420" s="2"/>
      <c r="P420" s="2"/>
      <c r="Q420" s="2"/>
      <c r="R420" s="2"/>
    </row>
    <row r="421" spans="1:18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92"/>
      <c r="L421" s="192"/>
      <c r="M421" s="75"/>
      <c r="N421" s="2"/>
      <c r="O421" s="2"/>
      <c r="P421" s="2"/>
      <c r="Q421" s="2"/>
      <c r="R421" s="2"/>
    </row>
    <row r="422" spans="1:18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92"/>
      <c r="L422" s="192"/>
      <c r="M422" s="75"/>
      <c r="N422" s="2"/>
      <c r="O422" s="2"/>
      <c r="P422" s="2"/>
      <c r="Q422" s="2"/>
      <c r="R422" s="2"/>
    </row>
    <row r="423" spans="1:18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92"/>
      <c r="L423" s="192"/>
      <c r="M423" s="75"/>
      <c r="N423" s="2"/>
      <c r="O423" s="2"/>
      <c r="P423" s="2"/>
      <c r="Q423" s="2"/>
      <c r="R423" s="2"/>
    </row>
    <row r="424" spans="1:18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92"/>
      <c r="L424" s="192"/>
      <c r="M424" s="75"/>
      <c r="N424" s="2"/>
      <c r="O424" s="2"/>
      <c r="P424" s="2"/>
      <c r="Q424" s="2"/>
      <c r="R424" s="2"/>
    </row>
    <row r="425" spans="1:18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92"/>
      <c r="L425" s="192"/>
      <c r="M425" s="75"/>
      <c r="N425" s="2"/>
      <c r="O425" s="2"/>
      <c r="P425" s="2"/>
      <c r="Q425" s="2"/>
      <c r="R425" s="2"/>
    </row>
    <row r="426" spans="1:18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92"/>
      <c r="L426" s="192"/>
      <c r="M426" s="75"/>
      <c r="N426" s="2"/>
      <c r="O426" s="2"/>
      <c r="P426" s="2"/>
      <c r="Q426" s="2"/>
      <c r="R426" s="2"/>
    </row>
    <row r="427" spans="1:18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192"/>
      <c r="L427" s="192"/>
      <c r="M427" s="75"/>
      <c r="N427" s="2"/>
      <c r="O427" s="2"/>
      <c r="P427" s="2"/>
      <c r="Q427" s="2"/>
      <c r="R427" s="2"/>
    </row>
    <row r="428" spans="1:18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192"/>
      <c r="L428" s="192"/>
      <c r="M428" s="75"/>
      <c r="N428" s="2"/>
      <c r="O428" s="2"/>
      <c r="P428" s="2"/>
      <c r="Q428" s="2"/>
      <c r="R428" s="2"/>
    </row>
    <row r="429" spans="1:18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192"/>
      <c r="L429" s="192"/>
      <c r="M429" s="75"/>
      <c r="N429" s="2"/>
      <c r="O429" s="2"/>
      <c r="P429" s="2"/>
      <c r="Q429" s="2"/>
      <c r="R429" s="2"/>
    </row>
    <row r="430" spans="1:18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192"/>
      <c r="L430" s="192"/>
      <c r="M430" s="75"/>
      <c r="N430" s="2"/>
      <c r="O430" s="2"/>
      <c r="P430" s="2"/>
      <c r="Q430" s="2"/>
      <c r="R430" s="2"/>
    </row>
    <row r="431" spans="1:18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192"/>
      <c r="L431" s="192"/>
      <c r="M431" s="75"/>
      <c r="N431" s="2"/>
      <c r="O431" s="2"/>
      <c r="P431" s="2"/>
      <c r="Q431" s="2"/>
      <c r="R431" s="2"/>
    </row>
    <row r="432" spans="1:18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192"/>
      <c r="L432" s="192"/>
      <c r="M432" s="75"/>
      <c r="N432" s="2"/>
      <c r="O432" s="2"/>
      <c r="P432" s="2"/>
      <c r="Q432" s="2"/>
      <c r="R432" s="2"/>
    </row>
    <row r="433" spans="1:18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192"/>
      <c r="L433" s="192"/>
      <c r="M433" s="75"/>
      <c r="N433" s="2"/>
      <c r="O433" s="2"/>
      <c r="P433" s="2"/>
      <c r="Q433" s="2"/>
      <c r="R433" s="2"/>
    </row>
    <row r="434" spans="1:18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192"/>
      <c r="L434" s="192"/>
      <c r="M434" s="75"/>
      <c r="N434" s="2"/>
      <c r="O434" s="2"/>
      <c r="P434" s="2"/>
      <c r="Q434" s="2"/>
      <c r="R434" s="2"/>
    </row>
    <row r="435" spans="1:18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192"/>
      <c r="L435" s="192"/>
      <c r="M435" s="75"/>
      <c r="N435" s="2"/>
      <c r="O435" s="2"/>
      <c r="P435" s="2"/>
      <c r="Q435" s="2"/>
      <c r="R435" s="2"/>
    </row>
    <row r="436" spans="1:18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92"/>
      <c r="L436" s="192"/>
      <c r="M436" s="75"/>
      <c r="N436" s="2"/>
      <c r="O436" s="2"/>
      <c r="P436" s="2"/>
      <c r="Q436" s="2"/>
      <c r="R436" s="2"/>
    </row>
    <row r="437" spans="1:18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92"/>
      <c r="L437" s="192"/>
      <c r="M437" s="75"/>
      <c r="N437" s="2"/>
      <c r="O437" s="2"/>
      <c r="P437" s="2"/>
      <c r="Q437" s="2"/>
      <c r="R437" s="2"/>
    </row>
    <row r="438" spans="1:18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92"/>
      <c r="L438" s="192"/>
      <c r="M438" s="75"/>
      <c r="N438" s="2"/>
      <c r="O438" s="2"/>
      <c r="P438" s="2"/>
      <c r="Q438" s="2"/>
      <c r="R438" s="2"/>
    </row>
    <row r="439" spans="1:18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92"/>
      <c r="L439" s="192"/>
      <c r="M439" s="75"/>
      <c r="N439" s="2"/>
      <c r="O439" s="2"/>
      <c r="P439" s="2"/>
      <c r="Q439" s="2"/>
      <c r="R439" s="2"/>
    </row>
    <row r="440" spans="1:18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192"/>
      <c r="L440" s="192"/>
      <c r="M440" s="75"/>
      <c r="N440" s="2"/>
      <c r="O440" s="2"/>
      <c r="P440" s="2"/>
      <c r="Q440" s="2"/>
      <c r="R440" s="2"/>
    </row>
  </sheetData>
  <phoneticPr fontId="0" type="noConversion"/>
  <printOptions horizontalCentered="1"/>
  <pageMargins left="0.7" right="0.25" top="0.31944444444444398" bottom="0.2" header="0.5" footer="0.25"/>
  <pageSetup scale="64" orientation="landscape" r:id="rId1"/>
  <headerFooter alignWithMargins="0"/>
  <rowBreaks count="3" manualBreakCount="3">
    <brk id="55" max="12" man="1"/>
    <brk id="103" max="12" man="1"/>
    <brk id="15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0"/>
  <sheetViews>
    <sheetView showOutlineSymbols="0" zoomScaleNormal="100" workbookViewId="0">
      <selection activeCell="A3" sqref="A3"/>
    </sheetView>
  </sheetViews>
  <sheetFormatPr defaultColWidth="9.6640625" defaultRowHeight="15" x14ac:dyDescent="0.2"/>
  <cols>
    <col min="1" max="1" width="10.21875" style="80" customWidth="1"/>
    <col min="2" max="2" width="9.77734375" style="80" customWidth="1"/>
    <col min="3" max="3" width="16.109375" style="80" customWidth="1"/>
    <col min="4" max="4" width="16.21875" style="80" customWidth="1"/>
    <col min="5" max="5" width="13.6640625" style="80" customWidth="1"/>
    <col min="6" max="6" width="14.33203125" style="80" customWidth="1"/>
    <col min="7" max="7" width="21.44140625" style="80" customWidth="1"/>
    <col min="8" max="8" width="17.88671875" style="80" customWidth="1"/>
    <col min="9" max="9" width="15.441406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140625" style="80" customWidth="1"/>
    <col min="15" max="15" width="13.88671875" style="80" customWidth="1"/>
    <col min="16" max="16" width="3.77734375" style="80" customWidth="1"/>
    <col min="17" max="16384" width="9.6640625" style="80"/>
  </cols>
  <sheetData>
    <row r="1" spans="1:16" ht="23.25" x14ac:dyDescent="0.3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ht="23.25" x14ac:dyDescent="0.35">
      <c r="A2" s="78" t="s">
        <v>23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23.25" x14ac:dyDescent="0.35">
      <c r="A3" s="285" t="s">
        <v>73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 ht="23.25" x14ac:dyDescent="0.3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6" ht="24" thickBot="1" x14ac:dyDescent="0.4">
      <c r="A5" s="78" t="s">
        <v>24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25</v>
      </c>
      <c r="P6" s="83"/>
    </row>
    <row r="7" spans="1:16" ht="15.75" x14ac:dyDescent="0.25">
      <c r="A7" s="105" t="s">
        <v>26</v>
      </c>
      <c r="B7" s="84" t="s">
        <v>13</v>
      </c>
      <c r="C7" s="84" t="s">
        <v>15</v>
      </c>
      <c r="D7" s="84" t="s">
        <v>56</v>
      </c>
      <c r="E7" s="278" t="s">
        <v>62</v>
      </c>
      <c r="F7" s="84" t="s">
        <v>16</v>
      </c>
      <c r="G7" s="84" t="s">
        <v>61</v>
      </c>
      <c r="H7" s="84" t="s">
        <v>17</v>
      </c>
      <c r="I7" s="84" t="s">
        <v>55</v>
      </c>
      <c r="J7" s="84" t="s">
        <v>27</v>
      </c>
      <c r="K7" s="84" t="s">
        <v>57</v>
      </c>
      <c r="L7" s="84" t="s">
        <v>53</v>
      </c>
      <c r="M7" s="84" t="s">
        <v>19</v>
      </c>
      <c r="N7" s="84" t="s">
        <v>54</v>
      </c>
      <c r="O7" s="84" t="s">
        <v>28</v>
      </c>
      <c r="P7" s="83"/>
    </row>
    <row r="8" spans="1:16" ht="16.5" thickBot="1" x14ac:dyDescent="0.3">
      <c r="A8" s="85"/>
      <c r="B8" s="85"/>
      <c r="C8" s="85"/>
      <c r="D8" s="85"/>
      <c r="E8" s="279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 x14ac:dyDescent="0.2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 x14ac:dyDescent="0.25">
      <c r="A10" s="88">
        <f>DATE(2014,7,1)</f>
        <v>41821</v>
      </c>
      <c r="B10" s="89">
        <f>'MONTHLY STATS'!$C$9*2</f>
        <v>534328</v>
      </c>
      <c r="C10" s="89">
        <f>'MONTHLY STATS'!$C$21*2</f>
        <v>348074</v>
      </c>
      <c r="D10" s="89">
        <f>'MONTHLY STATS'!$C$33*2</f>
        <v>144802</v>
      </c>
      <c r="E10" s="89">
        <f>'MONTHLY STATS'!$C$45*2</f>
        <v>843066</v>
      </c>
      <c r="F10" s="89">
        <f>'MONTHLY STATS'!$C$57*2</f>
        <v>638396</v>
      </c>
      <c r="G10" s="89">
        <f>'MONTHLY STATS'!$C$69*2</f>
        <v>339030</v>
      </c>
      <c r="H10" s="89">
        <f>'MONTHLY STATS'!$C$81*2</f>
        <v>475068</v>
      </c>
      <c r="I10" s="89">
        <f>'MONTHLY STATS'!$C$93*2</f>
        <v>763554</v>
      </c>
      <c r="J10" s="89">
        <f>'MONTHLY STATS'!$C$105*2</f>
        <v>1026776</v>
      </c>
      <c r="K10" s="89">
        <f>'MONTHLY STATS'!$C$117*2</f>
        <v>996478</v>
      </c>
      <c r="L10" s="89">
        <f>'MONTHLY STATS'!$C$129*2</f>
        <v>169998</v>
      </c>
      <c r="M10" s="89">
        <f>'MONTHLY STATS'!$C$141*2</f>
        <v>1134554</v>
      </c>
      <c r="N10" s="89">
        <f>'MONTHLY STATS'!$C$153*2</f>
        <v>204992</v>
      </c>
      <c r="O10" s="90">
        <f t="shared" ref="O10:O15" si="0">SUM(B10:N10)</f>
        <v>7619116</v>
      </c>
      <c r="P10" s="83"/>
    </row>
    <row r="11" spans="1:16" ht="15.75" x14ac:dyDescent="0.25">
      <c r="A11" s="88">
        <f>DATE(2014,8,1)</f>
        <v>41852</v>
      </c>
      <c r="B11" s="89">
        <f>'MONTHLY STATS'!$C$10*2</f>
        <v>555330</v>
      </c>
      <c r="C11" s="89">
        <f>'MONTHLY STATS'!$C$22*2</f>
        <v>360948</v>
      </c>
      <c r="D11" s="89">
        <f>'MONTHLY STATS'!$C$34*2</f>
        <v>156554</v>
      </c>
      <c r="E11" s="89">
        <f>'MONTHLY STATS'!$C$46*2</f>
        <v>844738</v>
      </c>
      <c r="F11" s="89">
        <f>'MONTHLY STATS'!$C$58*2</f>
        <v>688408</v>
      </c>
      <c r="G11" s="89">
        <f>'MONTHLY STATS'!$C$70*2</f>
        <v>362574</v>
      </c>
      <c r="H11" s="89">
        <f>'MONTHLY STATS'!$C$82*2</f>
        <v>459542</v>
      </c>
      <c r="I11" s="89">
        <f>'MONTHLY STATS'!$C$94*2</f>
        <v>797174</v>
      </c>
      <c r="J11" s="89">
        <f>'MONTHLY STATS'!$C$106*2</f>
        <v>1007692</v>
      </c>
      <c r="K11" s="89">
        <f>'MONTHLY STATS'!$C$118*2</f>
        <v>1096544</v>
      </c>
      <c r="L11" s="89">
        <f>'MONTHLY STATS'!$C$130*2</f>
        <v>178614</v>
      </c>
      <c r="M11" s="89">
        <f>'MONTHLY STATS'!$C$142*2</f>
        <v>1218442</v>
      </c>
      <c r="N11" s="89">
        <f>'MONTHLY STATS'!$C$154*2</f>
        <v>206864</v>
      </c>
      <c r="O11" s="90">
        <f t="shared" si="0"/>
        <v>7933424</v>
      </c>
      <c r="P11" s="83"/>
    </row>
    <row r="12" spans="1:16" ht="15.75" x14ac:dyDescent="0.25">
      <c r="A12" s="88">
        <f>DATE(2014,9,1)</f>
        <v>41883</v>
      </c>
      <c r="B12" s="89">
        <f>'MONTHLY STATS'!$C$11*2</f>
        <v>496316</v>
      </c>
      <c r="C12" s="89">
        <f>'MONTHLY STATS'!$C$23*2</f>
        <v>318052</v>
      </c>
      <c r="D12" s="89">
        <f>'MONTHLY STATS'!$C$35*2</f>
        <v>127556</v>
      </c>
      <c r="E12" s="89">
        <f>'MONTHLY STATS'!$C$47*2</f>
        <v>751906</v>
      </c>
      <c r="F12" s="89">
        <f>'MONTHLY STATS'!$C$59*2</f>
        <v>627684</v>
      </c>
      <c r="G12" s="89">
        <f>'MONTHLY STATS'!$C$71*2</f>
        <v>300264</v>
      </c>
      <c r="H12" s="89">
        <f>'MONTHLY STATS'!$C$83*2</f>
        <v>408646</v>
      </c>
      <c r="I12" s="89">
        <f>'MONTHLY STATS'!$C$95*2</f>
        <v>698838</v>
      </c>
      <c r="J12" s="89">
        <f>'MONTHLY STATS'!$C$107*2</f>
        <v>847766</v>
      </c>
      <c r="K12" s="89">
        <f>'MONTHLY STATS'!$C$119*2</f>
        <v>924254</v>
      </c>
      <c r="L12" s="89">
        <f>'MONTHLY STATS'!$C$131*2</f>
        <v>156860</v>
      </c>
      <c r="M12" s="89">
        <f>'MONTHLY STATS'!$C$143*2</f>
        <v>1023842</v>
      </c>
      <c r="N12" s="89">
        <f>'MONTHLY STATS'!$C$155*2</f>
        <v>194742</v>
      </c>
      <c r="O12" s="90">
        <f t="shared" si="0"/>
        <v>6876726</v>
      </c>
      <c r="P12" s="83"/>
    </row>
    <row r="13" spans="1:16" ht="15.75" x14ac:dyDescent="0.25">
      <c r="A13" s="88">
        <f>DATE(2014,10,1)</f>
        <v>41913</v>
      </c>
      <c r="B13" s="89">
        <f>'MONTHLY STATS'!$C$12*2</f>
        <v>532130</v>
      </c>
      <c r="C13" s="89">
        <f>'MONTHLY STATS'!$C$24*2</f>
        <v>322048</v>
      </c>
      <c r="D13" s="89">
        <f>'MONTHLY STATS'!$C$36*2</f>
        <v>136240</v>
      </c>
      <c r="E13" s="89">
        <f>'MONTHLY STATS'!$C$48*2</f>
        <v>819700</v>
      </c>
      <c r="F13" s="89">
        <f>'MONTHLY STATS'!$C$60*2</f>
        <v>627552</v>
      </c>
      <c r="G13" s="89">
        <f>'MONTHLY STATS'!$C$72*2</f>
        <v>321702</v>
      </c>
      <c r="H13" s="89">
        <f>'MONTHLY STATS'!$C$84*2</f>
        <v>421524</v>
      </c>
      <c r="I13" s="89">
        <f>'MONTHLY STATS'!$C$96*2</f>
        <v>693660</v>
      </c>
      <c r="J13" s="89">
        <f>'MONTHLY STATS'!$C$108*2</f>
        <v>847102</v>
      </c>
      <c r="K13" s="89">
        <f>'MONTHLY STATS'!$C$120*2</f>
        <v>978756</v>
      </c>
      <c r="L13" s="89">
        <f>'MONTHLY STATS'!$C$132*2</f>
        <v>164398</v>
      </c>
      <c r="M13" s="89">
        <f>'MONTHLY STATS'!$C$144*2</f>
        <v>1082650</v>
      </c>
      <c r="N13" s="89">
        <f>'MONTHLY STATS'!$C$156*2</f>
        <v>195550</v>
      </c>
      <c r="O13" s="90">
        <f t="shared" si="0"/>
        <v>7143012</v>
      </c>
      <c r="P13" s="83"/>
    </row>
    <row r="14" spans="1:16" ht="15.75" x14ac:dyDescent="0.25">
      <c r="A14" s="88">
        <f>DATE(2014,11,1)</f>
        <v>41944</v>
      </c>
      <c r="B14" s="89">
        <f>'MONTHLY STATS'!$C$13*2</f>
        <v>539048</v>
      </c>
      <c r="C14" s="89">
        <f>'MONTHLY STATS'!$C$25*2</f>
        <v>307988</v>
      </c>
      <c r="D14" s="89">
        <f>'MONTHLY STATS'!$C$37*2</f>
        <v>141766</v>
      </c>
      <c r="E14" s="89">
        <f>'MONTHLY STATS'!$C$49*2</f>
        <v>813108</v>
      </c>
      <c r="F14" s="89">
        <f>'MONTHLY STATS'!$C$61*2</f>
        <v>630346</v>
      </c>
      <c r="G14" s="89">
        <f>'MONTHLY STATS'!$C$73*2</f>
        <v>319278</v>
      </c>
      <c r="H14" s="89">
        <f>'MONTHLY STATS'!$C$85*2</f>
        <v>403380</v>
      </c>
      <c r="I14" s="89">
        <f>'MONTHLY STATS'!$C$97*2</f>
        <v>637300</v>
      </c>
      <c r="J14" s="89">
        <f>'MONTHLY STATS'!$C$109*2</f>
        <v>863898</v>
      </c>
      <c r="K14" s="89">
        <f>'MONTHLY STATS'!$C$121*2</f>
        <v>968424</v>
      </c>
      <c r="L14" s="89">
        <f>'MONTHLY STATS'!$C$133*2</f>
        <v>157562</v>
      </c>
      <c r="M14" s="89">
        <f>'MONTHLY STATS'!$C$145*2</f>
        <v>1043252</v>
      </c>
      <c r="N14" s="89">
        <f>'MONTHLY STATS'!$C$157*2</f>
        <v>184468</v>
      </c>
      <c r="O14" s="90">
        <f t="shared" si="0"/>
        <v>7009818</v>
      </c>
      <c r="P14" s="83"/>
    </row>
    <row r="15" spans="1:16" ht="15.75" x14ac:dyDescent="0.25">
      <c r="A15" s="88">
        <f>DATE(2014,12,1)</f>
        <v>41974</v>
      </c>
      <c r="B15" s="89">
        <f>'MONTHLY STATS'!$C$14*2</f>
        <v>560402</v>
      </c>
      <c r="C15" s="89">
        <f>'MONTHLY STATS'!$C$26*2</f>
        <v>303690</v>
      </c>
      <c r="D15" s="89">
        <f>'MONTHLY STATS'!$C$38*2</f>
        <v>144870</v>
      </c>
      <c r="E15" s="89">
        <f>'MONTHLY STATS'!$C$50*2</f>
        <v>861314</v>
      </c>
      <c r="F15" s="89">
        <f>'MONTHLY STATS'!$C$62*2</f>
        <v>652644</v>
      </c>
      <c r="G15" s="89">
        <f>'MONTHLY STATS'!$C$74*2</f>
        <v>320744</v>
      </c>
      <c r="H15" s="89">
        <f>'MONTHLY STATS'!$C$86*2</f>
        <v>437492</v>
      </c>
      <c r="I15" s="89">
        <f>'MONTHLY STATS'!$C$98*2</f>
        <v>619714</v>
      </c>
      <c r="J15" s="89">
        <f>'MONTHLY STATS'!$C$110*2</f>
        <v>891590</v>
      </c>
      <c r="K15" s="89">
        <f>'MONTHLY STATS'!$C$122*2</f>
        <v>985236</v>
      </c>
      <c r="L15" s="89">
        <f>'MONTHLY STATS'!$C$134*2</f>
        <v>177512</v>
      </c>
      <c r="M15" s="89">
        <f>'MONTHLY STATS'!$C$146*2</f>
        <v>1102044</v>
      </c>
      <c r="N15" s="89">
        <f>'MONTHLY STATS'!$C$158*2</f>
        <v>210300</v>
      </c>
      <c r="O15" s="90">
        <f t="shared" si="0"/>
        <v>7267552</v>
      </c>
      <c r="P15" s="83"/>
    </row>
    <row r="16" spans="1:16" ht="15.75" x14ac:dyDescent="0.25">
      <c r="A16" s="88">
        <f>DATE(2015,1,1)</f>
        <v>42005</v>
      </c>
      <c r="B16" s="89">
        <f>'MONTHLY STATS'!$C$15*2</f>
        <v>559524</v>
      </c>
      <c r="C16" s="89">
        <f>'MONTHLY STATS'!$C$27*2</f>
        <v>330880</v>
      </c>
      <c r="D16" s="89">
        <f>'MONTHLY STATS'!$C$39*2</f>
        <v>146816</v>
      </c>
      <c r="E16" s="89">
        <f>'MONTHLY STATS'!$C$51*2</f>
        <v>888234</v>
      </c>
      <c r="F16" s="89">
        <f>'MONTHLY STATS'!$C$63*2</f>
        <v>635848</v>
      </c>
      <c r="G16" s="89">
        <f>'MONTHLY STATS'!$C$75*2</f>
        <v>328974</v>
      </c>
      <c r="H16" s="89">
        <f>'MONTHLY STATS'!$C$87*2</f>
        <v>431158</v>
      </c>
      <c r="I16" s="89">
        <f>'MONTHLY STATS'!$C$99*2</f>
        <v>588916</v>
      </c>
      <c r="J16" s="89">
        <f>'MONTHLY STATS'!$C$111*2</f>
        <v>925782</v>
      </c>
      <c r="K16" s="89">
        <f>'MONTHLY STATS'!$C$123*2</f>
        <v>996352</v>
      </c>
      <c r="L16" s="89">
        <f>'MONTHLY STATS'!$C$135*2</f>
        <v>161824</v>
      </c>
      <c r="M16" s="89">
        <f>'MONTHLY STATS'!$C$147*2</f>
        <v>1092772</v>
      </c>
      <c r="N16" s="89">
        <f>'MONTHLY STATS'!$C$159*2</f>
        <v>203214</v>
      </c>
      <c r="O16" s="90">
        <f>SUM(B16:N16)</f>
        <v>7290294</v>
      </c>
      <c r="P16" s="83"/>
    </row>
    <row r="17" spans="1:16" ht="15.75" x14ac:dyDescent="0.25">
      <c r="A17" s="88">
        <f>DATE(2015,2,1)</f>
        <v>42036</v>
      </c>
      <c r="B17" s="89">
        <f>'MONTHLY STATS'!$C$16*2</f>
        <v>534304</v>
      </c>
      <c r="C17" s="89">
        <f>'MONTHLY STATS'!$C$28*2</f>
        <v>299084</v>
      </c>
      <c r="D17" s="89">
        <f>'MONTHLY STATS'!$C$40*2</f>
        <v>145906</v>
      </c>
      <c r="E17" s="89">
        <f>'MONTHLY STATS'!$C$52*2</f>
        <v>839894</v>
      </c>
      <c r="F17" s="89">
        <f>'MONTHLY STATS'!$C$64*2</f>
        <v>607644</v>
      </c>
      <c r="G17" s="89">
        <f>'MONTHLY STATS'!$C$76*2</f>
        <v>322882</v>
      </c>
      <c r="H17" s="89">
        <f>'MONTHLY STATS'!$C$88*2</f>
        <v>409862</v>
      </c>
      <c r="I17" s="89">
        <f>'MONTHLY STATS'!$C$100*2</f>
        <v>672664</v>
      </c>
      <c r="J17" s="89">
        <f>'MONTHLY STATS'!$C$112*2</f>
        <v>908154</v>
      </c>
      <c r="K17" s="89">
        <f>'MONTHLY STATS'!$C$124*2</f>
        <v>963376</v>
      </c>
      <c r="L17" s="89">
        <f>'MONTHLY STATS'!$C$136*2</f>
        <v>156084</v>
      </c>
      <c r="M17" s="89">
        <f>'MONTHLY STATS'!$C$148*2</f>
        <v>989478</v>
      </c>
      <c r="N17" s="89">
        <f>'MONTHLY STATS'!$C$160*2</f>
        <v>204502</v>
      </c>
      <c r="O17" s="90">
        <f>SUM(B17:N17)</f>
        <v>7053834</v>
      </c>
      <c r="P17" s="83"/>
    </row>
    <row r="18" spans="1:16" ht="15.75" x14ac:dyDescent="0.25">
      <c r="A18" s="88">
        <f>DATE(2015,3,1)</f>
        <v>42064</v>
      </c>
      <c r="B18" s="89">
        <f>'MONTHLY STATS'!$C$17*2</f>
        <v>586636</v>
      </c>
      <c r="C18" s="89">
        <f>'MONTHLY STATS'!$C$29*2</f>
        <v>334014</v>
      </c>
      <c r="D18" s="89">
        <f>'MONTHLY STATS'!$C$41*2</f>
        <v>151094</v>
      </c>
      <c r="E18" s="89">
        <f>'MONTHLY STATS'!$C$53*2</f>
        <v>973256</v>
      </c>
      <c r="F18" s="89">
        <f>'MONTHLY STATS'!$C$65*2</f>
        <v>670328</v>
      </c>
      <c r="G18" s="89">
        <f>'MONTHLY STATS'!$C$77*2</f>
        <v>325826</v>
      </c>
      <c r="H18" s="89">
        <f>'MONTHLY STATS'!$C$89*2</f>
        <v>444738</v>
      </c>
      <c r="I18" s="89">
        <f>'MONTHLY STATS'!$C$101*2</f>
        <v>687904</v>
      </c>
      <c r="J18" s="89">
        <f>'MONTHLY STATS'!$C$113*2</f>
        <v>985230</v>
      </c>
      <c r="K18" s="89">
        <f>'MONTHLY STATS'!$C$125*2</f>
        <v>1081312</v>
      </c>
      <c r="L18" s="89">
        <f>'MONTHLY STATS'!$C$137*2</f>
        <v>184974</v>
      </c>
      <c r="M18" s="89">
        <f>'MONTHLY STATS'!$C$149*2</f>
        <v>1163622</v>
      </c>
      <c r="N18" s="89">
        <f>'MONTHLY STATS'!$C$161*2</f>
        <v>222478</v>
      </c>
      <c r="O18" s="90">
        <f>SUM(B18:N18)</f>
        <v>7811412</v>
      </c>
      <c r="P18" s="83"/>
    </row>
    <row r="19" spans="1:16" ht="15.75" x14ac:dyDescent="0.2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 x14ac:dyDescent="0.2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 x14ac:dyDescent="0.2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 x14ac:dyDescent="0.2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 x14ac:dyDescent="0.25">
      <c r="A23" s="91" t="s">
        <v>29</v>
      </c>
      <c r="B23" s="90">
        <f t="shared" ref="B23:O23" si="1">SUM(B10:B21)</f>
        <v>4898018</v>
      </c>
      <c r="C23" s="90">
        <f t="shared" si="1"/>
        <v>2924778</v>
      </c>
      <c r="D23" s="90">
        <f t="shared" si="1"/>
        <v>1295604</v>
      </c>
      <c r="E23" s="90">
        <f t="shared" si="1"/>
        <v>7635216</v>
      </c>
      <c r="F23" s="90">
        <f t="shared" si="1"/>
        <v>5778850</v>
      </c>
      <c r="G23" s="90">
        <f>SUM(G10:G21)</f>
        <v>2941274</v>
      </c>
      <c r="H23" s="90">
        <f t="shared" si="1"/>
        <v>3891410</v>
      </c>
      <c r="I23" s="90">
        <f>SUM(I10:I21)</f>
        <v>6159724</v>
      </c>
      <c r="J23" s="90">
        <f t="shared" si="1"/>
        <v>8303990</v>
      </c>
      <c r="K23" s="90">
        <f>SUM(K10:K21)</f>
        <v>8990732</v>
      </c>
      <c r="L23" s="90">
        <f t="shared" si="1"/>
        <v>1507826</v>
      </c>
      <c r="M23" s="90">
        <f t="shared" si="1"/>
        <v>9850656</v>
      </c>
      <c r="N23" s="90">
        <f t="shared" si="1"/>
        <v>1827110</v>
      </c>
      <c r="O23" s="90">
        <f t="shared" si="1"/>
        <v>66005188</v>
      </c>
      <c r="P23" s="83"/>
    </row>
    <row r="24" spans="1:16" ht="16.5" thickBot="1" x14ac:dyDescent="0.3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6" ht="15.75" thickTop="1" x14ac:dyDescent="0.2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6" ht="24" thickBot="1" x14ac:dyDescent="0.4">
      <c r="A26" s="96" t="s">
        <v>30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 x14ac:dyDescent="0.25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25</v>
      </c>
      <c r="P27" s="83"/>
    </row>
    <row r="28" spans="1:16" ht="15.75" x14ac:dyDescent="0.25">
      <c r="A28" s="105" t="s">
        <v>26</v>
      </c>
      <c r="B28" s="84" t="s">
        <v>13</v>
      </c>
      <c r="C28" s="84" t="s">
        <v>15</v>
      </c>
      <c r="D28" s="84" t="s">
        <v>56</v>
      </c>
      <c r="E28" s="278" t="s">
        <v>62</v>
      </c>
      <c r="F28" s="84" t="s">
        <v>16</v>
      </c>
      <c r="G28" s="84" t="s">
        <v>61</v>
      </c>
      <c r="H28" s="84" t="s">
        <v>17</v>
      </c>
      <c r="I28" s="84" t="s">
        <v>55</v>
      </c>
      <c r="J28" s="84" t="s">
        <v>27</v>
      </c>
      <c r="K28" s="106" t="s">
        <v>57</v>
      </c>
      <c r="L28" s="106" t="s">
        <v>53</v>
      </c>
      <c r="M28" s="106" t="s">
        <v>19</v>
      </c>
      <c r="N28" s="106" t="s">
        <v>54</v>
      </c>
      <c r="O28" s="106" t="s">
        <v>28</v>
      </c>
      <c r="P28" s="83"/>
    </row>
    <row r="29" spans="1:16" ht="16.5" thickBot="1" x14ac:dyDescent="0.3">
      <c r="A29" s="107"/>
      <c r="B29" s="108"/>
      <c r="C29" s="108"/>
      <c r="D29" s="108"/>
      <c r="E29" s="279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 x14ac:dyDescent="0.2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 x14ac:dyDescent="0.25">
      <c r="A31" s="88">
        <f>DATE(2014,7,1)</f>
        <v>41821</v>
      </c>
      <c r="B31" s="89">
        <f>'MONTHLY STATS'!$K$9*0.21</f>
        <v>2339898.2900999999</v>
      </c>
      <c r="C31" s="89">
        <f>'MONTHLY STATS'!$K$21*0.21</f>
        <v>1455485.0856000001</v>
      </c>
      <c r="D31" s="89">
        <f>'MONTHLY STATS'!$K$33*0.21</f>
        <v>580363.62299999991</v>
      </c>
      <c r="E31" s="89">
        <f>'MONTHLY STATS'!$K$45*0.21</f>
        <v>3999967.2152999998</v>
      </c>
      <c r="F31" s="89">
        <f>'MONTHLY STATS'!$K$57*0.21</f>
        <v>3028190.3862000001</v>
      </c>
      <c r="G31" s="89">
        <f>'MONTHLY STATS'!$K$69*0.21</f>
        <v>1126760.5965</v>
      </c>
      <c r="H31" s="89">
        <f>'MONTHLY STATS'!$K$81*0.21</f>
        <v>1332258.9168</v>
      </c>
      <c r="I31" s="89">
        <f>'MONTHLY STATS'!$K$93*0.21</f>
        <v>2478255.3998999996</v>
      </c>
      <c r="J31" s="89">
        <f>'MONTHLY STATS'!$K$105*0.21</f>
        <v>3630317.4935999997</v>
      </c>
      <c r="K31" s="89">
        <f>'MONTHLY STATS'!$K$117*0.21</f>
        <v>3725248.0754999998</v>
      </c>
      <c r="L31" s="89">
        <f>'MONTHLY STATS'!$K$129*0.21</f>
        <v>637106.13540000003</v>
      </c>
      <c r="M31" s="89">
        <f>'MONTHLY STATS'!$K$141*0.21</f>
        <v>4748637.6503999997</v>
      </c>
      <c r="N31" s="89">
        <f>'MONTHLY STATS'!$K$153*0.21</f>
        <v>701488.48139999993</v>
      </c>
      <c r="O31" s="90">
        <f t="shared" ref="O31:O36" si="2">SUM(B31:N31)</f>
        <v>29783977.349699996</v>
      </c>
      <c r="P31" s="83"/>
    </row>
    <row r="32" spans="1:16" ht="15.75" x14ac:dyDescent="0.25">
      <c r="A32" s="88">
        <f>DATE(2014,8,1)</f>
        <v>41852</v>
      </c>
      <c r="B32" s="89">
        <f>'MONTHLY STATS'!$K$10*0.21</f>
        <v>2554663.1501999996</v>
      </c>
      <c r="C32" s="89">
        <f>'MONTHLY STATS'!$K$22*0.21</f>
        <v>1504522.1876999999</v>
      </c>
      <c r="D32" s="89">
        <f>'MONTHLY STATS'!$K$34*0.21</f>
        <v>629658.32370000007</v>
      </c>
      <c r="E32" s="89">
        <f>'MONTHLY STATS'!$K$46*0.21</f>
        <v>3782249.6838000002</v>
      </c>
      <c r="F32" s="89">
        <f>'MONTHLY STATS'!$K$58*0.21</f>
        <v>3097609.0760999997</v>
      </c>
      <c r="G32" s="89">
        <f>'MONTHLY STATS'!$K$70*0.21</f>
        <v>1208896.3488</v>
      </c>
      <c r="H32" s="89">
        <f>'MONTHLY STATS'!$K$82*0.21</f>
        <v>1348330.4666999998</v>
      </c>
      <c r="I32" s="89">
        <f>'MONTHLY STATS'!$K$94*0.21</f>
        <v>2702267.5701000001</v>
      </c>
      <c r="J32" s="89">
        <f>'MONTHLY STATS'!$K$106*0.21</f>
        <v>3679886.3261999995</v>
      </c>
      <c r="K32" s="89">
        <f>'MONTHLY STATS'!$K$118*0.21</f>
        <v>3976063.1966999997</v>
      </c>
      <c r="L32" s="89">
        <f>'MONTHLY STATS'!$K$130*0.21</f>
        <v>682583.39729999995</v>
      </c>
      <c r="M32" s="89">
        <f>'MONTHLY STATS'!$K$142*0.21</f>
        <v>4986832.2041999996</v>
      </c>
      <c r="N32" s="89">
        <f>'MONTHLY STATS'!$K$154*0.21</f>
        <v>723618.51659999997</v>
      </c>
      <c r="O32" s="90">
        <f t="shared" si="2"/>
        <v>30877180.448100001</v>
      </c>
      <c r="P32" s="83"/>
    </row>
    <row r="33" spans="1:16" ht="15.75" x14ac:dyDescent="0.25">
      <c r="A33" s="88">
        <f>DATE(2014,9,1)</f>
        <v>41883</v>
      </c>
      <c r="B33" s="89">
        <f>'MONTHLY STATS'!$K$11*0.21</f>
        <v>2231863.6830000002</v>
      </c>
      <c r="C33" s="89">
        <f>'MONTHLY STATS'!$K$23*0.21</f>
        <v>1383553.8654</v>
      </c>
      <c r="D33" s="89">
        <f>'MONTHLY STATS'!$K$35*0.21</f>
        <v>545237.75879999995</v>
      </c>
      <c r="E33" s="89">
        <f>'MONTHLY STATS'!$K$47*0.21</f>
        <v>3461299.6676999996</v>
      </c>
      <c r="F33" s="89">
        <f>'MONTHLY STATS'!$K$59*0.21</f>
        <v>2989077.4767</v>
      </c>
      <c r="G33" s="89">
        <f>'MONTHLY STATS'!$K$71*0.21</f>
        <v>997599.47279999987</v>
      </c>
      <c r="H33" s="89">
        <f>'MONTHLY STATS'!$K$83*0.21</f>
        <v>1265094.5895</v>
      </c>
      <c r="I33" s="89">
        <f>'MONTHLY STATS'!$K$95*0.21</f>
        <v>2394953.2991999998</v>
      </c>
      <c r="J33" s="89">
        <f>'MONTHLY STATS'!$K$107*0.21</f>
        <v>3087329.5718999999</v>
      </c>
      <c r="K33" s="89">
        <f>'MONTHLY STATS'!$K$119*0.21</f>
        <v>3503857.2155999998</v>
      </c>
      <c r="L33" s="89">
        <f>'MONTHLY STATS'!$K$131*0.21</f>
        <v>573491.90639999998</v>
      </c>
      <c r="M33" s="89">
        <f>'MONTHLY STATS'!$K$143*0.21</f>
        <v>4238275.6961999992</v>
      </c>
      <c r="N33" s="89">
        <f>'MONTHLY STATS'!$K$155*0.21</f>
        <v>646344.2747999999</v>
      </c>
      <c r="O33" s="90">
        <f t="shared" si="2"/>
        <v>27317978.477999996</v>
      </c>
      <c r="P33" s="83"/>
    </row>
    <row r="34" spans="1:16" ht="15.75" x14ac:dyDescent="0.25">
      <c r="A34" s="88">
        <f>DATE(2014,10,1)</f>
        <v>41913</v>
      </c>
      <c r="B34" s="89">
        <f>'MONTHLY STATS'!$K$12*0.21</f>
        <v>2407284.6692999997</v>
      </c>
      <c r="C34" s="89">
        <f>'MONTHLY STATS'!$K$24*0.21</f>
        <v>1362983.6261999998</v>
      </c>
      <c r="D34" s="89">
        <f>'MONTHLY STATS'!$K$36*0.21</f>
        <v>541467.7254</v>
      </c>
      <c r="E34" s="89">
        <f>'MONTHLY STATS'!$K$48*0.21</f>
        <v>3802648.6491</v>
      </c>
      <c r="F34" s="89">
        <f>'MONTHLY STATS'!$K$60*0.21</f>
        <v>3085155.1269</v>
      </c>
      <c r="G34" s="89">
        <f>'MONTHLY STATS'!$K$72*0.21</f>
        <v>1080715.4609999999</v>
      </c>
      <c r="H34" s="89">
        <f>'MONTHLY STATS'!$K$84*0.21</f>
        <v>1312077.9839999999</v>
      </c>
      <c r="I34" s="89">
        <f>'MONTHLY STATS'!$K$96*0.21</f>
        <v>2449147.2851999998</v>
      </c>
      <c r="J34" s="89">
        <f>'MONTHLY STATS'!$K$108*0.21</f>
        <v>3323300.6813999997</v>
      </c>
      <c r="K34" s="89">
        <f>'MONTHLY STATS'!$K$120*0.21</f>
        <v>3589494.3671999997</v>
      </c>
      <c r="L34" s="89">
        <f>'MONTHLY STATS'!$K$132*0.21</f>
        <v>626395.79099999997</v>
      </c>
      <c r="M34" s="89">
        <f>'MONTHLY STATS'!$K$144*0.21</f>
        <v>4465313.9517000001</v>
      </c>
      <c r="N34" s="89">
        <f>'MONTHLY STATS'!$K$156*0.21</f>
        <v>652569.17879999988</v>
      </c>
      <c r="O34" s="90">
        <f t="shared" si="2"/>
        <v>28698554.497199997</v>
      </c>
      <c r="P34" s="83"/>
    </row>
    <row r="35" spans="1:16" ht="15.75" x14ac:dyDescent="0.25">
      <c r="A35" s="88">
        <f>DATE(2014,11,1)</f>
        <v>41944</v>
      </c>
      <c r="B35" s="89">
        <f>'MONTHLY STATS'!$K$13*0.21</f>
        <v>2416201.3322999999</v>
      </c>
      <c r="C35" s="89">
        <f>'MONTHLY STATS'!$K$25*0.21</f>
        <v>1309178.3145000001</v>
      </c>
      <c r="D35" s="89">
        <f>'MONTHLY STATS'!$K$37*0.21</f>
        <v>578323.24410000001</v>
      </c>
      <c r="E35" s="89">
        <f>'MONTHLY STATS'!$K$49*0.21</f>
        <v>3611826.6030000001</v>
      </c>
      <c r="F35" s="89">
        <f>'MONTHLY STATS'!$K$61*0.21</f>
        <v>3023950.0451999996</v>
      </c>
      <c r="G35" s="89">
        <f>'MONTHLY STATS'!$K$73*0.21</f>
        <v>1047090.6452999999</v>
      </c>
      <c r="H35" s="89">
        <f>'MONTHLY STATS'!$K$85*0.21</f>
        <v>1290368.9441999998</v>
      </c>
      <c r="I35" s="89">
        <f>'MONTHLY STATS'!$K$97*0.21</f>
        <v>2244656.3306999998</v>
      </c>
      <c r="J35" s="89">
        <f>'MONTHLY STATS'!$K$109*0.21</f>
        <v>3080723.7719999999</v>
      </c>
      <c r="K35" s="89">
        <f>'MONTHLY STATS'!$K$121*0.21</f>
        <v>3637897.6178999995</v>
      </c>
      <c r="L35" s="89">
        <f>'MONTHLY STATS'!$K$133*0.21</f>
        <v>589078.96109999996</v>
      </c>
      <c r="M35" s="89">
        <f>'MONTHLY STATS'!$K$145*0.21</f>
        <v>4483254.7598999999</v>
      </c>
      <c r="N35" s="89">
        <f>'MONTHLY STATS'!$K$157*0.21</f>
        <v>634654.6899</v>
      </c>
      <c r="O35" s="90">
        <f t="shared" si="2"/>
        <v>27947205.260099996</v>
      </c>
      <c r="P35" s="83"/>
    </row>
    <row r="36" spans="1:16" ht="15.75" x14ac:dyDescent="0.25">
      <c r="A36" s="88">
        <f>DATE(2014,12,1)</f>
        <v>41974</v>
      </c>
      <c r="B36" s="89">
        <f>'MONTHLY STATS'!$K$14*0.21</f>
        <v>2482231.8443999998</v>
      </c>
      <c r="C36" s="89">
        <f>'MONTHLY STATS'!$K$26*0.21</f>
        <v>1341448.5441000001</v>
      </c>
      <c r="D36" s="89">
        <f>'MONTHLY STATS'!$K$38*0.21</f>
        <v>584109.05069999991</v>
      </c>
      <c r="E36" s="89">
        <f>'MONTHLY STATS'!$K$50*0.21</f>
        <v>3728320.4216999998</v>
      </c>
      <c r="F36" s="89">
        <f>'MONTHLY STATS'!$K$62*0.21</f>
        <v>3048807.1151999999</v>
      </c>
      <c r="G36" s="89">
        <f>'MONTHLY STATS'!$K$74*0.21</f>
        <v>1078685.0970000001</v>
      </c>
      <c r="H36" s="89">
        <f>'MONTHLY STATS'!$K$86*0.21</f>
        <v>1367622.0663000001</v>
      </c>
      <c r="I36" s="89">
        <f>'MONTHLY STATS'!$K$98*0.21</f>
        <v>2143403.3459999999</v>
      </c>
      <c r="J36" s="89">
        <f>'MONTHLY STATS'!$K$110*0.21</f>
        <v>3281583.0704999999</v>
      </c>
      <c r="K36" s="89">
        <f>'MONTHLY STATS'!$K$122*0.21</f>
        <v>3728860.2371999999</v>
      </c>
      <c r="L36" s="89">
        <f>'MONTHLY STATS'!$K$134*0.21</f>
        <v>632370.17339999997</v>
      </c>
      <c r="M36" s="89">
        <f>'MONTHLY STATS'!$K$146*0.21</f>
        <v>4717869.3848999999</v>
      </c>
      <c r="N36" s="89">
        <f>'MONTHLY STATS'!$K$158*0.21</f>
        <v>643502.17680000002</v>
      </c>
      <c r="O36" s="90">
        <f t="shared" si="2"/>
        <v>28778812.528200004</v>
      </c>
      <c r="P36" s="83"/>
    </row>
    <row r="37" spans="1:16" ht="15.75" x14ac:dyDescent="0.25">
      <c r="A37" s="88">
        <f>DATE(2015,1,1)</f>
        <v>42005</v>
      </c>
      <c r="B37" s="89">
        <f>'MONTHLY STATS'!$K$15*0.21</f>
        <v>2483014.5332999998</v>
      </c>
      <c r="C37" s="89">
        <f>'MONTHLY STATS'!$K$27*0.21</f>
        <v>1465389.0740999999</v>
      </c>
      <c r="D37" s="89">
        <f>'MONTHLY STATS'!$K$39*0.21</f>
        <v>590141.64299999992</v>
      </c>
      <c r="E37" s="89">
        <f>'MONTHLY STATS'!$K$51*0.21</f>
        <v>3759066.4502999997</v>
      </c>
      <c r="F37" s="89">
        <f>'MONTHLY STATS'!$K$63*0.21</f>
        <v>2958247.4417999997</v>
      </c>
      <c r="G37" s="89">
        <f>'MONTHLY STATS'!$K$75*0.21</f>
        <v>1121584.8315000001</v>
      </c>
      <c r="H37" s="89">
        <f>'MONTHLY STATS'!$K$87*0.21</f>
        <v>1317885.6788999999</v>
      </c>
      <c r="I37" s="89">
        <f>'MONTHLY STATS'!$K$99*0.21</f>
        <v>2215490.1006</v>
      </c>
      <c r="J37" s="89">
        <f>'MONTHLY STATS'!$K$111*0.21</f>
        <v>3437994.5691</v>
      </c>
      <c r="K37" s="89">
        <f>'MONTHLY STATS'!$K$123*0.21</f>
        <v>3735412.9217999997</v>
      </c>
      <c r="L37" s="89">
        <f>'MONTHLY STATS'!$K$135*0.21</f>
        <v>577511.59829999995</v>
      </c>
      <c r="M37" s="89">
        <f>'MONTHLY STATS'!$K$147*0.21</f>
        <v>4646380.3028999995</v>
      </c>
      <c r="N37" s="89">
        <f>'MONTHLY STATS'!$K$159*0.21</f>
        <v>702496.33860000002</v>
      </c>
      <c r="O37" s="90">
        <f>SUM(B37:N37)</f>
        <v>29010615.484199997</v>
      </c>
      <c r="P37" s="83"/>
    </row>
    <row r="38" spans="1:16" ht="15.75" x14ac:dyDescent="0.25">
      <c r="A38" s="88">
        <f>DATE(2015,2,1)</f>
        <v>42036</v>
      </c>
      <c r="B38" s="89">
        <f>'MONTHLY STATS'!$K$16*0.21</f>
        <v>2393225.1335999998</v>
      </c>
      <c r="C38" s="89">
        <f>'MONTHLY STATS'!$K$28*0.21</f>
        <v>1354500.5082</v>
      </c>
      <c r="D38" s="89">
        <f>'MONTHLY STATS'!$K$40*0.21</f>
        <v>607863.84750000003</v>
      </c>
      <c r="E38" s="89">
        <f>'MONTHLY STATS'!$K$52*0.21</f>
        <v>3762195.7064999994</v>
      </c>
      <c r="F38" s="89">
        <f>'MONTHLY STATS'!$K$64*0.21</f>
        <v>2912142.3912</v>
      </c>
      <c r="G38" s="89">
        <f>'MONTHLY STATS'!$K$76*0.21</f>
        <v>1122678.3959999999</v>
      </c>
      <c r="H38" s="89">
        <f>'MONTHLY STATS'!$K$88*0.21</f>
        <v>1431951.4671</v>
      </c>
      <c r="I38" s="89">
        <f>'MONTHLY STATS'!$K$100*0.21</f>
        <v>2399378.7573000002</v>
      </c>
      <c r="J38" s="89">
        <f>'MONTHLY STATS'!$K$112*0.21</f>
        <v>3335073.5270999996</v>
      </c>
      <c r="K38" s="89">
        <f>'MONTHLY STATS'!$K$124*0.21</f>
        <v>3586401.3674999997</v>
      </c>
      <c r="L38" s="89">
        <f>'MONTHLY STATS'!$K$136*0.21</f>
        <v>605249.50709999993</v>
      </c>
      <c r="M38" s="89">
        <f>'MONTHLY STATS'!$K$148*0.21</f>
        <v>4465583.9949000003</v>
      </c>
      <c r="N38" s="89">
        <f>'MONTHLY STATS'!$K$160*0.21</f>
        <v>706273.03739999991</v>
      </c>
      <c r="O38" s="90">
        <f>SUM(B38:N38)</f>
        <v>28682517.641399998</v>
      </c>
      <c r="P38" s="83"/>
    </row>
    <row r="39" spans="1:16" ht="15.75" x14ac:dyDescent="0.25">
      <c r="A39" s="88">
        <f>DATE(2015,3,1)</f>
        <v>42064</v>
      </c>
      <c r="B39" s="89">
        <f>'MONTHLY STATS'!$K$17*0.21</f>
        <v>2725615.5611999999</v>
      </c>
      <c r="C39" s="89">
        <f>'MONTHLY STATS'!$K$29*0.21</f>
        <v>1549869.8354999998</v>
      </c>
      <c r="D39" s="89">
        <f>'MONTHLY STATS'!$K$41*0.21</f>
        <v>621291.98670000001</v>
      </c>
      <c r="E39" s="89">
        <f>'MONTHLY STATS'!$K$53*0.21</f>
        <v>4261417.2489</v>
      </c>
      <c r="F39" s="89">
        <f>'MONTHLY STATS'!$K$65*0.21</f>
        <v>3322597.0469999998</v>
      </c>
      <c r="G39" s="89">
        <f>'MONTHLY STATS'!$K$77*0.21</f>
        <v>1211229.0077999998</v>
      </c>
      <c r="H39" s="89">
        <f>'MONTHLY STATS'!$K$89*0.21</f>
        <v>1533091.5684</v>
      </c>
      <c r="I39" s="89">
        <f>'MONTHLY STATS'!$K$101*0.21</f>
        <v>2576049.3905999996</v>
      </c>
      <c r="J39" s="89">
        <f>'MONTHLY STATS'!$K$113*0.21</f>
        <v>3774244.5614999994</v>
      </c>
      <c r="K39" s="89">
        <f>'MONTHLY STATS'!$K$125*0.21</f>
        <v>4090575.6275999998</v>
      </c>
      <c r="L39" s="89">
        <f>'MONTHLY STATS'!$K$137*0.21</f>
        <v>714415.76219999988</v>
      </c>
      <c r="M39" s="89">
        <f>'MONTHLY STATS'!$K$149*0.21</f>
        <v>5087426.9816999994</v>
      </c>
      <c r="N39" s="89">
        <f>'MONTHLY STATS'!$K$161*0.21</f>
        <v>788641.27859999996</v>
      </c>
      <c r="O39" s="90">
        <f>SUM(B39:N39)</f>
        <v>32256465.857699998</v>
      </c>
      <c r="P39" s="83"/>
    </row>
    <row r="40" spans="1:16" ht="15.75" x14ac:dyDescent="0.2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 x14ac:dyDescent="0.2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 x14ac:dyDescent="0.2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 x14ac:dyDescent="0.25">
      <c r="A44" s="91" t="s">
        <v>29</v>
      </c>
      <c r="B44" s="90">
        <f t="shared" ref="B44:O44" si="3">SUM(B31:B42)</f>
        <v>22033998.1974</v>
      </c>
      <c r="C44" s="90">
        <f t="shared" si="3"/>
        <v>12726931.041300001</v>
      </c>
      <c r="D44" s="90">
        <f t="shared" si="3"/>
        <v>5278457.2028999999</v>
      </c>
      <c r="E44" s="90">
        <f t="shared" si="3"/>
        <v>34168991.646300003</v>
      </c>
      <c r="F44" s="90">
        <f t="shared" si="3"/>
        <v>27465776.106299996</v>
      </c>
      <c r="G44" s="90">
        <f t="shared" si="3"/>
        <v>9995239.8566999994</v>
      </c>
      <c r="H44" s="90">
        <f t="shared" si="3"/>
        <v>12198681.681899998</v>
      </c>
      <c r="I44" s="90">
        <f>SUM(I31:I42)</f>
        <v>21603601.479600001</v>
      </c>
      <c r="J44" s="90">
        <f t="shared" si="3"/>
        <v>30630453.5733</v>
      </c>
      <c r="K44" s="90">
        <f>SUM(K31:K42)</f>
        <v>33573810.626999997</v>
      </c>
      <c r="L44" s="90">
        <f t="shared" si="3"/>
        <v>5638203.2321999995</v>
      </c>
      <c r="M44" s="90">
        <f t="shared" si="3"/>
        <v>41839574.926799998</v>
      </c>
      <c r="N44" s="90">
        <f t="shared" si="3"/>
        <v>6199587.9728999995</v>
      </c>
      <c r="O44" s="90">
        <f t="shared" si="3"/>
        <v>263353307.54459998</v>
      </c>
      <c r="P44" s="83"/>
    </row>
    <row r="45" spans="1:16" ht="16.5" thickBot="1" x14ac:dyDescent="0.3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6" ht="15.75" thickTop="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6" ht="15.75" x14ac:dyDescent="0.25">
      <c r="A47" s="256" t="s">
        <v>65</v>
      </c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</row>
    <row r="48" spans="1:16" ht="15.75" x14ac:dyDescent="0.25">
      <c r="A48" s="115" t="s">
        <v>31</v>
      </c>
      <c r="B48" s="98"/>
      <c r="C48" s="98"/>
      <c r="D48" s="98"/>
      <c r="E48" s="98"/>
      <c r="F48" s="98"/>
      <c r="G48" s="98"/>
      <c r="H48" s="98"/>
      <c r="I48" s="98"/>
    </row>
    <row r="49" spans="1:9" ht="15.75" x14ac:dyDescent="0.25">
      <c r="A49" s="115"/>
      <c r="B49" s="98"/>
      <c r="C49" s="98"/>
      <c r="D49" s="98"/>
      <c r="E49" s="98"/>
      <c r="F49" s="98"/>
      <c r="G49" s="98"/>
      <c r="H49" s="98"/>
      <c r="I49" s="98"/>
    </row>
    <row r="50" spans="1:9" ht="15.75" x14ac:dyDescent="0.25">
      <c r="A50" s="72"/>
    </row>
  </sheetData>
  <phoneticPr fontId="0" type="noConversion"/>
  <printOptions horizontalCentered="1"/>
  <pageMargins left="0.3" right="0.05" top="0.31944444444444398" bottom="0.25" header="0.5" footer="0.5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171"/>
  <sheetViews>
    <sheetView showOutlineSymbols="0" zoomScaleNormal="100" workbookViewId="0">
      <selection activeCell="A3" sqref="A3"/>
    </sheetView>
  </sheetViews>
  <sheetFormatPr defaultColWidth="9.6640625" defaultRowHeight="15" x14ac:dyDescent="0.2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/>
  </cols>
  <sheetData>
    <row r="1" spans="1:8" ht="18" x14ac:dyDescent="0.25">
      <c r="A1" s="116" t="s">
        <v>0</v>
      </c>
      <c r="B1" s="117"/>
      <c r="C1" s="200"/>
      <c r="D1" s="200"/>
      <c r="E1" s="200"/>
      <c r="F1" s="117"/>
      <c r="G1" s="210"/>
    </row>
    <row r="2" spans="1:8" ht="18" customHeight="1" x14ac:dyDescent="0.3">
      <c r="A2" s="119" t="s">
        <v>32</v>
      </c>
      <c r="B2" s="117"/>
      <c r="C2" s="200"/>
      <c r="D2" s="200"/>
      <c r="E2" s="200"/>
      <c r="F2" s="117"/>
      <c r="G2" s="210"/>
    </row>
    <row r="3" spans="1:8" ht="18" customHeight="1" x14ac:dyDescent="0.25">
      <c r="A3" s="286" t="s">
        <v>74</v>
      </c>
      <c r="B3" s="117"/>
      <c r="C3" s="200"/>
      <c r="D3" s="200"/>
      <c r="E3" s="200"/>
      <c r="F3" s="117"/>
      <c r="G3" s="210"/>
    </row>
    <row r="4" spans="1:8" x14ac:dyDescent="0.2">
      <c r="A4" s="287" t="s">
        <v>75</v>
      </c>
      <c r="B4" s="117"/>
      <c r="C4" s="200"/>
      <c r="D4" s="200"/>
      <c r="E4" s="200"/>
      <c r="F4" s="117"/>
      <c r="G4" s="210"/>
    </row>
    <row r="5" spans="1:8" ht="15.75" x14ac:dyDescent="0.25">
      <c r="A5" s="117"/>
      <c r="B5" s="117"/>
      <c r="C5" s="200"/>
      <c r="D5" s="200"/>
      <c r="E5" s="200"/>
      <c r="F5" s="117"/>
      <c r="G5" s="211" t="s">
        <v>1</v>
      </c>
    </row>
    <row r="6" spans="1:8" ht="16.5" thickTop="1" x14ac:dyDescent="0.25">
      <c r="A6" s="120"/>
      <c r="B6" s="121" t="s">
        <v>2</v>
      </c>
      <c r="C6" s="201" t="s">
        <v>33</v>
      </c>
      <c r="D6" s="201" t="s">
        <v>33</v>
      </c>
      <c r="E6" s="201" t="s">
        <v>3</v>
      </c>
      <c r="F6" s="122"/>
      <c r="G6" s="212" t="s">
        <v>34</v>
      </c>
      <c r="H6" s="123"/>
    </row>
    <row r="7" spans="1:8" ht="16.5" thickBot="1" x14ac:dyDescent="0.3">
      <c r="A7" s="124" t="s">
        <v>5</v>
      </c>
      <c r="B7" s="125" t="s">
        <v>6</v>
      </c>
      <c r="C7" s="264" t="s">
        <v>35</v>
      </c>
      <c r="D7" s="202" t="s">
        <v>36</v>
      </c>
      <c r="E7" s="202" t="s">
        <v>36</v>
      </c>
      <c r="F7" s="126" t="s">
        <v>8</v>
      </c>
      <c r="G7" s="213" t="s">
        <v>37</v>
      </c>
      <c r="H7" s="123"/>
    </row>
    <row r="8" spans="1:8" ht="15.75" customHeight="1" thickTop="1" x14ac:dyDescent="0.25">
      <c r="A8" s="127"/>
      <c r="B8" s="128"/>
      <c r="C8" s="203"/>
      <c r="D8" s="203"/>
      <c r="E8" s="203"/>
      <c r="F8" s="129"/>
      <c r="G8" s="214"/>
      <c r="H8" s="123"/>
    </row>
    <row r="9" spans="1:8" ht="15.75" x14ac:dyDescent="0.25">
      <c r="A9" s="130" t="s">
        <v>38</v>
      </c>
      <c r="B9" s="131">
        <f>DATE(2014,7,1)</f>
        <v>41821</v>
      </c>
      <c r="C9" s="204">
        <v>4810629</v>
      </c>
      <c r="D9" s="204">
        <v>885313</v>
      </c>
      <c r="E9" s="204">
        <v>979631</v>
      </c>
      <c r="F9" s="132">
        <f t="shared" ref="F9:F17" si="0">(+D9-E9)/E9</f>
        <v>-9.6279109174781122E-2</v>
      </c>
      <c r="G9" s="215">
        <f t="shared" ref="G9:G17" si="1">D9/C9</f>
        <v>0.18403269094332569</v>
      </c>
      <c r="H9" s="123"/>
    </row>
    <row r="10" spans="1:8" ht="15.75" x14ac:dyDescent="0.25">
      <c r="A10" s="130"/>
      <c r="B10" s="131">
        <f>DATE(2014,8,1)</f>
        <v>41852</v>
      </c>
      <c r="C10" s="204">
        <v>5288746</v>
      </c>
      <c r="D10" s="204">
        <v>1087040.3400000001</v>
      </c>
      <c r="E10" s="204">
        <v>1015141.56</v>
      </c>
      <c r="F10" s="132">
        <f t="shared" si="0"/>
        <v>7.0826358444038118E-2</v>
      </c>
      <c r="G10" s="215">
        <f t="shared" si="1"/>
        <v>0.20553839038592514</v>
      </c>
      <c r="H10" s="123"/>
    </row>
    <row r="11" spans="1:8" ht="15.75" x14ac:dyDescent="0.25">
      <c r="A11" s="130"/>
      <c r="B11" s="131">
        <f>DATE(2014,9,1)</f>
        <v>41883</v>
      </c>
      <c r="C11" s="204">
        <v>4605638</v>
      </c>
      <c r="D11" s="204">
        <v>1089948.23</v>
      </c>
      <c r="E11" s="204">
        <v>1019087.22</v>
      </c>
      <c r="F11" s="132">
        <f t="shared" si="0"/>
        <v>6.9533803004614272E-2</v>
      </c>
      <c r="G11" s="215">
        <f t="shared" si="1"/>
        <v>0.23665521041818743</v>
      </c>
      <c r="H11" s="123"/>
    </row>
    <row r="12" spans="1:8" ht="15.75" x14ac:dyDescent="0.25">
      <c r="A12" s="130"/>
      <c r="B12" s="131">
        <f>DATE(2014,10,1)</f>
        <v>41913</v>
      </c>
      <c r="C12" s="204">
        <v>5083098</v>
      </c>
      <c r="D12" s="204">
        <v>1026326.55</v>
      </c>
      <c r="E12" s="204">
        <v>928648.96</v>
      </c>
      <c r="F12" s="132">
        <f t="shared" si="0"/>
        <v>0.10518246851856711</v>
      </c>
      <c r="G12" s="215">
        <f t="shared" si="1"/>
        <v>0.20190965234193795</v>
      </c>
      <c r="H12" s="123"/>
    </row>
    <row r="13" spans="1:8" ht="15.75" x14ac:dyDescent="0.25">
      <c r="A13" s="130"/>
      <c r="B13" s="131">
        <f>DATE(2014,11,1)</f>
        <v>41944</v>
      </c>
      <c r="C13" s="204">
        <v>4998298</v>
      </c>
      <c r="D13" s="204">
        <v>833113.97</v>
      </c>
      <c r="E13" s="204">
        <v>1032691.58</v>
      </c>
      <c r="F13" s="132">
        <f t="shared" si="0"/>
        <v>-0.19325964679599691</v>
      </c>
      <c r="G13" s="215">
        <f t="shared" si="1"/>
        <v>0.16667953171259497</v>
      </c>
      <c r="H13" s="123"/>
    </row>
    <row r="14" spans="1:8" ht="15.75" x14ac:dyDescent="0.25">
      <c r="A14" s="130"/>
      <c r="B14" s="131">
        <f>DATE(2014,12,1)</f>
        <v>41974</v>
      </c>
      <c r="C14" s="204">
        <v>5408099</v>
      </c>
      <c r="D14" s="204">
        <v>957272.26</v>
      </c>
      <c r="E14" s="204">
        <v>1020563.81</v>
      </c>
      <c r="F14" s="132">
        <f t="shared" si="0"/>
        <v>-6.2016259424288268E-2</v>
      </c>
      <c r="G14" s="215">
        <f t="shared" si="1"/>
        <v>0.17700716277568143</v>
      </c>
      <c r="H14" s="123"/>
    </row>
    <row r="15" spans="1:8" ht="15.75" x14ac:dyDescent="0.25">
      <c r="A15" s="130"/>
      <c r="B15" s="131">
        <f>DATE(2015,1,1)</f>
        <v>42005</v>
      </c>
      <c r="C15" s="204">
        <v>5508707</v>
      </c>
      <c r="D15" s="204">
        <v>1155524.8700000001</v>
      </c>
      <c r="E15" s="204">
        <v>1080155</v>
      </c>
      <c r="F15" s="132">
        <f t="shared" si="0"/>
        <v>6.9776902389009091E-2</v>
      </c>
      <c r="G15" s="215">
        <f t="shared" si="1"/>
        <v>0.20976335644644017</v>
      </c>
      <c r="H15" s="123"/>
    </row>
    <row r="16" spans="1:8" ht="15.75" x14ac:dyDescent="0.25">
      <c r="A16" s="130"/>
      <c r="B16" s="131">
        <f>DATE(2015,2,1)</f>
        <v>42036</v>
      </c>
      <c r="C16" s="204">
        <v>5338401</v>
      </c>
      <c r="D16" s="204">
        <v>888881.85</v>
      </c>
      <c r="E16" s="204">
        <v>1054605.1599999999</v>
      </c>
      <c r="F16" s="132">
        <f t="shared" si="0"/>
        <v>-0.15714251767931797</v>
      </c>
      <c r="G16" s="215">
        <f t="shared" si="1"/>
        <v>0.16650713387772856</v>
      </c>
      <c r="H16" s="123"/>
    </row>
    <row r="17" spans="1:8" ht="15.75" x14ac:dyDescent="0.25">
      <c r="A17" s="130"/>
      <c r="B17" s="131">
        <f>DATE(2015,3,1)</f>
        <v>42064</v>
      </c>
      <c r="C17" s="204">
        <v>6126266</v>
      </c>
      <c r="D17" s="204">
        <v>1254229.5</v>
      </c>
      <c r="E17" s="204">
        <v>1227956.8</v>
      </c>
      <c r="F17" s="132">
        <f t="shared" si="0"/>
        <v>2.1395459514536631E-2</v>
      </c>
      <c r="G17" s="215">
        <f t="shared" si="1"/>
        <v>0.20472984685940832</v>
      </c>
      <c r="H17" s="123"/>
    </row>
    <row r="18" spans="1:8" ht="15.75" thickBot="1" x14ac:dyDescent="0.25">
      <c r="A18" s="133"/>
      <c r="B18" s="134"/>
      <c r="C18" s="204"/>
      <c r="D18" s="204"/>
      <c r="E18" s="204"/>
      <c r="F18" s="132"/>
      <c r="G18" s="215"/>
      <c r="H18" s="123"/>
    </row>
    <row r="19" spans="1:8" ht="17.25" thickTop="1" thickBot="1" x14ac:dyDescent="0.3">
      <c r="A19" s="135" t="s">
        <v>14</v>
      </c>
      <c r="B19" s="136"/>
      <c r="C19" s="201">
        <f>SUM(C9:C18)</f>
        <v>47167882</v>
      </c>
      <c r="D19" s="201">
        <f>SUM(D9:D18)</f>
        <v>9177650.5700000003</v>
      </c>
      <c r="E19" s="201">
        <f>SUM(E9:E18)</f>
        <v>9358481.0900000017</v>
      </c>
      <c r="F19" s="137">
        <f>(+D19-E19)/E19</f>
        <v>-1.932263561372451E-2</v>
      </c>
      <c r="G19" s="212">
        <f>D19/C19</f>
        <v>0.19457415047807319</v>
      </c>
      <c r="H19" s="123"/>
    </row>
    <row r="20" spans="1:8" ht="15.75" customHeight="1" thickTop="1" x14ac:dyDescent="0.25">
      <c r="A20" s="138"/>
      <c r="B20" s="139"/>
      <c r="C20" s="205"/>
      <c r="D20" s="205"/>
      <c r="E20" s="205"/>
      <c r="F20" s="140"/>
      <c r="G20" s="216"/>
      <c r="H20" s="123"/>
    </row>
    <row r="21" spans="1:8" ht="15.75" x14ac:dyDescent="0.25">
      <c r="A21" s="19" t="s">
        <v>15</v>
      </c>
      <c r="B21" s="131">
        <f>DATE(2014,7,1)</f>
        <v>41821</v>
      </c>
      <c r="C21" s="204">
        <v>2738644.25</v>
      </c>
      <c r="D21" s="204">
        <v>648014.25</v>
      </c>
      <c r="E21" s="204">
        <v>473986</v>
      </c>
      <c r="F21" s="132">
        <f t="shared" ref="F21:F29" si="2">(+D21-E21)/E21</f>
        <v>0.36715905111121427</v>
      </c>
      <c r="G21" s="215">
        <f t="shared" ref="G21:G29" si="3">D21/C21</f>
        <v>0.23661862982021123</v>
      </c>
      <c r="H21" s="123"/>
    </row>
    <row r="22" spans="1:8" ht="15.75" x14ac:dyDescent="0.25">
      <c r="A22" s="19"/>
      <c r="B22" s="131">
        <f>DATE(2014,8,1)</f>
        <v>41852</v>
      </c>
      <c r="C22" s="204">
        <v>2649879</v>
      </c>
      <c r="D22" s="204">
        <v>536234.5</v>
      </c>
      <c r="E22" s="204">
        <v>630118</v>
      </c>
      <c r="F22" s="132">
        <f t="shared" si="2"/>
        <v>-0.14899352184828873</v>
      </c>
      <c r="G22" s="215">
        <f t="shared" si="3"/>
        <v>0.202361881429303</v>
      </c>
      <c r="H22" s="123"/>
    </row>
    <row r="23" spans="1:8" ht="15.75" x14ac:dyDescent="0.25">
      <c r="A23" s="19"/>
      <c r="B23" s="131">
        <f>DATE(2014,9,1)</f>
        <v>41883</v>
      </c>
      <c r="C23" s="204">
        <v>2428620.0099999998</v>
      </c>
      <c r="D23" s="204">
        <v>586348.01</v>
      </c>
      <c r="E23" s="204">
        <v>539966</v>
      </c>
      <c r="F23" s="132">
        <f t="shared" si="2"/>
        <v>8.5898019504931811E-2</v>
      </c>
      <c r="G23" s="215">
        <f t="shared" si="3"/>
        <v>0.24143258623649405</v>
      </c>
      <c r="H23" s="123"/>
    </row>
    <row r="24" spans="1:8" ht="15.75" x14ac:dyDescent="0.25">
      <c r="A24" s="19"/>
      <c r="B24" s="131">
        <f>DATE(2014,10,1)</f>
        <v>41913</v>
      </c>
      <c r="C24" s="204">
        <v>2483861</v>
      </c>
      <c r="D24" s="204">
        <v>579096</v>
      </c>
      <c r="E24" s="204">
        <v>476110.5</v>
      </c>
      <c r="F24" s="132">
        <f t="shared" si="2"/>
        <v>0.21630587857230621</v>
      </c>
      <c r="G24" s="215">
        <f t="shared" si="3"/>
        <v>0.23314348105630708</v>
      </c>
      <c r="H24" s="123"/>
    </row>
    <row r="25" spans="1:8" ht="15.75" x14ac:dyDescent="0.25">
      <c r="A25" s="19"/>
      <c r="B25" s="131">
        <f>DATE(2014,11,1)</f>
        <v>41944</v>
      </c>
      <c r="C25" s="204">
        <v>2476136</v>
      </c>
      <c r="D25" s="204">
        <v>520588</v>
      </c>
      <c r="E25" s="204">
        <v>469818.5</v>
      </c>
      <c r="F25" s="132">
        <f t="shared" si="2"/>
        <v>0.10806194306950451</v>
      </c>
      <c r="G25" s="215">
        <f t="shared" si="3"/>
        <v>0.21024208686437257</v>
      </c>
      <c r="H25" s="123"/>
    </row>
    <row r="26" spans="1:8" ht="15.75" x14ac:dyDescent="0.25">
      <c r="A26" s="19"/>
      <c r="B26" s="131">
        <f>DATE(2014,12,1)</f>
        <v>41974</v>
      </c>
      <c r="C26" s="204">
        <v>2545777</v>
      </c>
      <c r="D26" s="204">
        <v>544994.5</v>
      </c>
      <c r="E26" s="204">
        <v>499071</v>
      </c>
      <c r="F26" s="132">
        <f t="shared" si="2"/>
        <v>9.2017969387121271E-2</v>
      </c>
      <c r="G26" s="215">
        <f t="shared" si="3"/>
        <v>0.21407786306498958</v>
      </c>
      <c r="H26" s="123"/>
    </row>
    <row r="27" spans="1:8" ht="15.75" x14ac:dyDescent="0.25">
      <c r="A27" s="19"/>
      <c r="B27" s="131">
        <f>DATE(2015,1,1)</f>
        <v>42005</v>
      </c>
      <c r="C27" s="204">
        <v>2824947</v>
      </c>
      <c r="D27" s="204">
        <v>499607</v>
      </c>
      <c r="E27" s="204">
        <v>468114.5</v>
      </c>
      <c r="F27" s="132">
        <f t="shared" si="2"/>
        <v>6.7275207240963489E-2</v>
      </c>
      <c r="G27" s="215">
        <f t="shared" si="3"/>
        <v>0.17685535339247072</v>
      </c>
      <c r="H27" s="123"/>
    </row>
    <row r="28" spans="1:8" ht="15.75" x14ac:dyDescent="0.25">
      <c r="A28" s="19"/>
      <c r="B28" s="131">
        <f>DATE(2015,2,1)</f>
        <v>42036</v>
      </c>
      <c r="C28" s="204">
        <v>2583377</v>
      </c>
      <c r="D28" s="204">
        <v>475515</v>
      </c>
      <c r="E28" s="204">
        <v>638184</v>
      </c>
      <c r="F28" s="132">
        <f t="shared" si="2"/>
        <v>-0.25489357301342558</v>
      </c>
      <c r="G28" s="215">
        <f t="shared" si="3"/>
        <v>0.18406721125100983</v>
      </c>
      <c r="H28" s="123"/>
    </row>
    <row r="29" spans="1:8" ht="15.75" x14ac:dyDescent="0.25">
      <c r="A29" s="19"/>
      <c r="B29" s="131">
        <f>DATE(2015,3,1)</f>
        <v>42064</v>
      </c>
      <c r="C29" s="204">
        <v>2892731</v>
      </c>
      <c r="D29" s="204">
        <v>703830.5</v>
      </c>
      <c r="E29" s="204">
        <v>440676</v>
      </c>
      <c r="F29" s="132">
        <f t="shared" si="2"/>
        <v>0.59716095271809677</v>
      </c>
      <c r="G29" s="215">
        <f t="shared" si="3"/>
        <v>0.24331004161811104</v>
      </c>
      <c r="H29" s="123"/>
    </row>
    <row r="30" spans="1:8" ht="15.75" thickBot="1" x14ac:dyDescent="0.25">
      <c r="A30" s="133"/>
      <c r="B30" s="131"/>
      <c r="C30" s="204"/>
      <c r="D30" s="204"/>
      <c r="E30" s="204"/>
      <c r="F30" s="132"/>
      <c r="G30" s="215"/>
      <c r="H30" s="123"/>
    </row>
    <row r="31" spans="1:8" ht="17.25" thickTop="1" thickBot="1" x14ac:dyDescent="0.3">
      <c r="A31" s="135" t="s">
        <v>14</v>
      </c>
      <c r="B31" s="136"/>
      <c r="C31" s="201">
        <f>SUM(C21:C30)</f>
        <v>23623972.259999998</v>
      </c>
      <c r="D31" s="201">
        <f>SUM(D21:D30)</f>
        <v>5094227.76</v>
      </c>
      <c r="E31" s="201">
        <f>SUM(E21:E30)</f>
        <v>4636044.5</v>
      </c>
      <c r="F31" s="137">
        <f>(+D31-E31)/E31</f>
        <v>9.8830643234766147E-2</v>
      </c>
      <c r="G31" s="212">
        <f>D31/C31</f>
        <v>0.21563806898916499</v>
      </c>
      <c r="H31" s="123"/>
    </row>
    <row r="32" spans="1:8" ht="15.75" customHeight="1" thickTop="1" x14ac:dyDescent="0.25">
      <c r="A32" s="255"/>
      <c r="B32" s="139"/>
      <c r="C32" s="205"/>
      <c r="D32" s="205"/>
      <c r="E32" s="205"/>
      <c r="F32" s="140"/>
      <c r="G32" s="219"/>
      <c r="H32" s="123"/>
    </row>
    <row r="33" spans="1:8" ht="15.75" x14ac:dyDescent="0.25">
      <c r="A33" s="19" t="s">
        <v>56</v>
      </c>
      <c r="B33" s="131">
        <f>DATE(2014,7,1)</f>
        <v>41821</v>
      </c>
      <c r="C33" s="204">
        <v>1069599</v>
      </c>
      <c r="D33" s="204">
        <v>269057.5</v>
      </c>
      <c r="E33" s="204">
        <v>327537.5</v>
      </c>
      <c r="F33" s="132">
        <f t="shared" ref="F33:F41" si="4">(+D33-E33)/E33</f>
        <v>-0.17854444147616685</v>
      </c>
      <c r="G33" s="215">
        <f t="shared" ref="G33:G41" si="5">D33/C33</f>
        <v>0.25154987990826466</v>
      </c>
      <c r="H33" s="123"/>
    </row>
    <row r="34" spans="1:8" ht="15.75" x14ac:dyDescent="0.25">
      <c r="A34" s="19"/>
      <c r="B34" s="131">
        <f>DATE(2014,8,1)</f>
        <v>41852</v>
      </c>
      <c r="C34" s="204">
        <v>1248717</v>
      </c>
      <c r="D34" s="204">
        <v>293428.5</v>
      </c>
      <c r="E34" s="204">
        <v>291070.5</v>
      </c>
      <c r="F34" s="132">
        <f t="shared" si="4"/>
        <v>8.1011301385746758E-3</v>
      </c>
      <c r="G34" s="215">
        <f t="shared" si="5"/>
        <v>0.23498398756483654</v>
      </c>
      <c r="H34" s="123"/>
    </row>
    <row r="35" spans="1:8" ht="15.75" x14ac:dyDescent="0.25">
      <c r="A35" s="19"/>
      <c r="B35" s="131">
        <f>DATE(2014,9,1)</f>
        <v>41883</v>
      </c>
      <c r="C35" s="204">
        <v>1112421</v>
      </c>
      <c r="D35" s="204">
        <v>281304</v>
      </c>
      <c r="E35" s="204">
        <v>327340.5</v>
      </c>
      <c r="F35" s="132">
        <f t="shared" si="4"/>
        <v>-0.1406379595558753</v>
      </c>
      <c r="G35" s="215">
        <f t="shared" si="5"/>
        <v>0.25287548509062668</v>
      </c>
      <c r="H35" s="123"/>
    </row>
    <row r="36" spans="1:8" ht="15.75" x14ac:dyDescent="0.25">
      <c r="A36" s="19"/>
      <c r="B36" s="131">
        <f>DATE(2014,10,1)</f>
        <v>41913</v>
      </c>
      <c r="C36" s="204">
        <v>1119877</v>
      </c>
      <c r="D36" s="204">
        <v>223101</v>
      </c>
      <c r="E36" s="204">
        <v>282921</v>
      </c>
      <c r="F36" s="132">
        <f t="shared" si="4"/>
        <v>-0.21143711495435122</v>
      </c>
      <c r="G36" s="215">
        <f t="shared" si="5"/>
        <v>0.19921919996571053</v>
      </c>
      <c r="H36" s="123"/>
    </row>
    <row r="37" spans="1:8" ht="15.75" x14ac:dyDescent="0.25">
      <c r="A37" s="19"/>
      <c r="B37" s="131">
        <f>DATE(2014,11,1)</f>
        <v>41944</v>
      </c>
      <c r="C37" s="204">
        <v>1206563</v>
      </c>
      <c r="D37" s="204">
        <v>243735</v>
      </c>
      <c r="E37" s="204">
        <v>255459</v>
      </c>
      <c r="F37" s="132">
        <f t="shared" si="4"/>
        <v>-4.5893861637288175E-2</v>
      </c>
      <c r="G37" s="215">
        <f t="shared" si="5"/>
        <v>0.20200768629570109</v>
      </c>
      <c r="H37" s="123"/>
    </row>
    <row r="38" spans="1:8" ht="15.75" x14ac:dyDescent="0.25">
      <c r="A38" s="19"/>
      <c r="B38" s="131">
        <f>DATE(2014,12,1)</f>
        <v>41974</v>
      </c>
      <c r="C38" s="204">
        <v>1237520</v>
      </c>
      <c r="D38" s="204">
        <v>287131.5</v>
      </c>
      <c r="E38" s="204">
        <v>249521</v>
      </c>
      <c r="F38" s="132">
        <f t="shared" si="4"/>
        <v>0.1507308002132085</v>
      </c>
      <c r="G38" s="215">
        <f t="shared" si="5"/>
        <v>0.23202170469972203</v>
      </c>
      <c r="H38" s="123"/>
    </row>
    <row r="39" spans="1:8" ht="15.75" x14ac:dyDescent="0.25">
      <c r="A39" s="19"/>
      <c r="B39" s="131">
        <f>DATE(2015,1,1)</f>
        <v>42005</v>
      </c>
      <c r="C39" s="204">
        <v>1392897</v>
      </c>
      <c r="D39" s="204">
        <v>278080</v>
      </c>
      <c r="E39" s="204">
        <v>304707.5</v>
      </c>
      <c r="F39" s="132">
        <f t="shared" si="4"/>
        <v>-8.738708433497698E-2</v>
      </c>
      <c r="G39" s="215">
        <f t="shared" si="5"/>
        <v>0.19964146666982555</v>
      </c>
      <c r="H39" s="123"/>
    </row>
    <row r="40" spans="1:8" ht="15.75" x14ac:dyDescent="0.25">
      <c r="A40" s="19"/>
      <c r="B40" s="131">
        <f>DATE(2015,2,1)</f>
        <v>42036</v>
      </c>
      <c r="C40" s="204">
        <v>1429028</v>
      </c>
      <c r="D40" s="204">
        <v>316239.5</v>
      </c>
      <c r="E40" s="204">
        <v>284188</v>
      </c>
      <c r="F40" s="132">
        <f t="shared" si="4"/>
        <v>0.11278273537235914</v>
      </c>
      <c r="G40" s="215">
        <f t="shared" si="5"/>
        <v>0.22129692350324837</v>
      </c>
      <c r="H40" s="123"/>
    </row>
    <row r="41" spans="1:8" ht="15.75" x14ac:dyDescent="0.25">
      <c r="A41" s="19"/>
      <c r="B41" s="131">
        <f>DATE(2015,3,1)</f>
        <v>42064</v>
      </c>
      <c r="C41" s="204">
        <v>1501252</v>
      </c>
      <c r="D41" s="204">
        <v>299330.5</v>
      </c>
      <c r="E41" s="204">
        <v>335496</v>
      </c>
      <c r="F41" s="132">
        <f t="shared" si="4"/>
        <v>-0.10779711233516942</v>
      </c>
      <c r="G41" s="215">
        <f t="shared" si="5"/>
        <v>0.19938724477969055</v>
      </c>
      <c r="H41" s="123"/>
    </row>
    <row r="42" spans="1:8" ht="15.75" thickBot="1" x14ac:dyDescent="0.25">
      <c r="A42" s="133"/>
      <c r="B42" s="131"/>
      <c r="C42" s="204"/>
      <c r="D42" s="204"/>
      <c r="E42" s="204"/>
      <c r="F42" s="132"/>
      <c r="G42" s="215"/>
      <c r="H42" s="123"/>
    </row>
    <row r="43" spans="1:8" ht="17.25" thickTop="1" thickBot="1" x14ac:dyDescent="0.3">
      <c r="A43" s="141" t="s">
        <v>14</v>
      </c>
      <c r="B43" s="142"/>
      <c r="C43" s="206">
        <f>SUM(C33:C42)</f>
        <v>11317874</v>
      </c>
      <c r="D43" s="206">
        <f>SUM(D33:D42)</f>
        <v>2491407.5</v>
      </c>
      <c r="E43" s="206">
        <f>SUM(E33:E42)</f>
        <v>2658241</v>
      </c>
      <c r="F43" s="143">
        <f>(+D43-E43)/E43</f>
        <v>-6.2760863292681143E-2</v>
      </c>
      <c r="G43" s="217">
        <f>D43/C43</f>
        <v>0.22013034426783687</v>
      </c>
      <c r="H43" s="123"/>
    </row>
    <row r="44" spans="1:8" ht="15.75" thickTop="1" x14ac:dyDescent="0.2">
      <c r="A44" s="133"/>
      <c r="B44" s="134"/>
      <c r="C44" s="204"/>
      <c r="D44" s="204"/>
      <c r="E44" s="204"/>
      <c r="F44" s="132"/>
      <c r="G44" s="218"/>
      <c r="H44" s="123"/>
    </row>
    <row r="45" spans="1:8" ht="15.75" x14ac:dyDescent="0.25">
      <c r="A45" s="177" t="s">
        <v>67</v>
      </c>
      <c r="B45" s="131">
        <f>DATE(2014,7,1)</f>
        <v>41821</v>
      </c>
      <c r="C45" s="204">
        <v>11678724</v>
      </c>
      <c r="D45" s="204">
        <v>2863106.21</v>
      </c>
      <c r="E45" s="204">
        <v>2879949.68</v>
      </c>
      <c r="F45" s="132">
        <f t="shared" ref="F45:F53" si="6">(+D45-E45)/E45</f>
        <v>-5.8485292701364851E-3</v>
      </c>
      <c r="G45" s="215">
        <f t="shared" ref="G45:G53" si="7">D45/C45</f>
        <v>0.24515573876050156</v>
      </c>
      <c r="H45" s="123"/>
    </row>
    <row r="46" spans="1:8" ht="15.75" x14ac:dyDescent="0.25">
      <c r="A46" s="177"/>
      <c r="B46" s="131">
        <f>DATE(2014,8,1)</f>
        <v>41852</v>
      </c>
      <c r="C46" s="204">
        <v>11698237</v>
      </c>
      <c r="D46" s="204">
        <v>1916626.25</v>
      </c>
      <c r="E46" s="204">
        <v>2484831.6800000002</v>
      </c>
      <c r="F46" s="132">
        <f t="shared" si="6"/>
        <v>-0.22866958537811308</v>
      </c>
      <c r="G46" s="215">
        <f t="shared" si="7"/>
        <v>0.16383889726289524</v>
      </c>
      <c r="H46" s="123"/>
    </row>
    <row r="47" spans="1:8" ht="15.75" x14ac:dyDescent="0.25">
      <c r="A47" s="177"/>
      <c r="B47" s="131">
        <f>DATE(2014,9,1)</f>
        <v>41883</v>
      </c>
      <c r="C47" s="204">
        <v>10583987.5</v>
      </c>
      <c r="D47" s="204">
        <v>1773873.21</v>
      </c>
      <c r="E47" s="204">
        <v>2818834.5</v>
      </c>
      <c r="F47" s="132">
        <f t="shared" si="6"/>
        <v>-0.37070686129320468</v>
      </c>
      <c r="G47" s="215">
        <f t="shared" si="7"/>
        <v>0.16759970757713008</v>
      </c>
      <c r="H47" s="123"/>
    </row>
    <row r="48" spans="1:8" ht="15.75" x14ac:dyDescent="0.25">
      <c r="A48" s="177"/>
      <c r="B48" s="131">
        <f>DATE(2014,10,1)</f>
        <v>41913</v>
      </c>
      <c r="C48" s="204">
        <v>11534699</v>
      </c>
      <c r="D48" s="204">
        <v>2542192.75</v>
      </c>
      <c r="E48" s="204">
        <v>2363858.13</v>
      </c>
      <c r="F48" s="132">
        <f t="shared" si="6"/>
        <v>7.5442184002810747E-2</v>
      </c>
      <c r="G48" s="215">
        <f t="shared" si="7"/>
        <v>0.22039523961570215</v>
      </c>
      <c r="H48" s="123"/>
    </row>
    <row r="49" spans="1:8" ht="15.75" x14ac:dyDescent="0.25">
      <c r="A49" s="177"/>
      <c r="B49" s="131">
        <f>DATE(2014,11,1)</f>
        <v>41944</v>
      </c>
      <c r="C49" s="204">
        <v>12389795.5</v>
      </c>
      <c r="D49" s="204">
        <v>2296283.4900000002</v>
      </c>
      <c r="E49" s="204">
        <v>2362571.5</v>
      </c>
      <c r="F49" s="132">
        <f t="shared" si="6"/>
        <v>-2.8057567781546409E-2</v>
      </c>
      <c r="G49" s="215">
        <f t="shared" si="7"/>
        <v>0.18533667403953522</v>
      </c>
      <c r="H49" s="123"/>
    </row>
    <row r="50" spans="1:8" ht="15.75" x14ac:dyDescent="0.25">
      <c r="A50" s="177"/>
      <c r="B50" s="131">
        <f>DATE(2014,12,1)</f>
        <v>41974</v>
      </c>
      <c r="C50" s="204">
        <v>12909291</v>
      </c>
      <c r="D50" s="204">
        <v>2114636.12</v>
      </c>
      <c r="E50" s="204">
        <v>2755305.96</v>
      </c>
      <c r="F50" s="132">
        <f t="shared" si="6"/>
        <v>-0.23252221324995787</v>
      </c>
      <c r="G50" s="215">
        <f t="shared" si="7"/>
        <v>0.1638073012685205</v>
      </c>
      <c r="H50" s="123"/>
    </row>
    <row r="51" spans="1:8" ht="15.75" x14ac:dyDescent="0.25">
      <c r="A51" s="177"/>
      <c r="B51" s="131">
        <f>DATE(2015,1,1)</f>
        <v>42005</v>
      </c>
      <c r="C51" s="204">
        <v>13069833.01</v>
      </c>
      <c r="D51" s="204">
        <v>2228063.7799999998</v>
      </c>
      <c r="E51" s="204">
        <v>2460387.11</v>
      </c>
      <c r="F51" s="132">
        <f t="shared" si="6"/>
        <v>-9.4425519080206896E-2</v>
      </c>
      <c r="G51" s="215">
        <f t="shared" si="7"/>
        <v>0.17047377562477364</v>
      </c>
      <c r="H51" s="123"/>
    </row>
    <row r="52" spans="1:8" ht="15.75" x14ac:dyDescent="0.25">
      <c r="A52" s="177"/>
      <c r="B52" s="131">
        <f>DATE(2015,2,1)</f>
        <v>42036</v>
      </c>
      <c r="C52" s="204">
        <v>13060195</v>
      </c>
      <c r="D52" s="204">
        <v>2360667.29</v>
      </c>
      <c r="E52" s="204">
        <v>2900728.72</v>
      </c>
      <c r="F52" s="132">
        <f t="shared" si="6"/>
        <v>-0.18618129516089327</v>
      </c>
      <c r="G52" s="215">
        <f t="shared" si="7"/>
        <v>0.18075283638567419</v>
      </c>
      <c r="H52" s="123"/>
    </row>
    <row r="53" spans="1:8" ht="15.75" x14ac:dyDescent="0.25">
      <c r="A53" s="177"/>
      <c r="B53" s="131">
        <f>DATE(2015,3,1)</f>
        <v>42064</v>
      </c>
      <c r="C53" s="204">
        <v>13365005.25</v>
      </c>
      <c r="D53" s="204">
        <v>2566916.9300000002</v>
      </c>
      <c r="E53" s="204">
        <v>2940734.88</v>
      </c>
      <c r="F53" s="132">
        <f t="shared" si="6"/>
        <v>-0.12711718847637149</v>
      </c>
      <c r="G53" s="215">
        <f t="shared" si="7"/>
        <v>0.1920625455796211</v>
      </c>
      <c r="H53" s="123"/>
    </row>
    <row r="54" spans="1:8" ht="15.75" customHeight="1" thickBot="1" x14ac:dyDescent="0.25">
      <c r="A54" s="133"/>
      <c r="B54" s="134"/>
      <c r="C54" s="204"/>
      <c r="D54" s="204"/>
      <c r="E54" s="204"/>
      <c r="F54" s="132"/>
      <c r="G54" s="215"/>
      <c r="H54" s="123"/>
    </row>
    <row r="55" spans="1:8" ht="17.25" customHeight="1" thickTop="1" thickBot="1" x14ac:dyDescent="0.3">
      <c r="A55" s="141" t="s">
        <v>14</v>
      </c>
      <c r="B55" s="142"/>
      <c r="C55" s="206">
        <f>SUM(C45:C54)</f>
        <v>110289767.26000001</v>
      </c>
      <c r="D55" s="206">
        <f>SUM(D45:D54)</f>
        <v>20662366.030000001</v>
      </c>
      <c r="E55" s="206">
        <f>SUM(E45:E54)</f>
        <v>23967202.159999996</v>
      </c>
      <c r="F55" s="143">
        <f>(+D55-E55)/E55</f>
        <v>-0.13788994259478451</v>
      </c>
      <c r="G55" s="217">
        <f>D55/C55</f>
        <v>0.18734617492926606</v>
      </c>
      <c r="H55" s="123"/>
    </row>
    <row r="56" spans="1:8" ht="15.75" customHeight="1" thickTop="1" x14ac:dyDescent="0.2">
      <c r="A56" s="133"/>
      <c r="B56" s="134"/>
      <c r="C56" s="204"/>
      <c r="D56" s="204"/>
      <c r="E56" s="204"/>
      <c r="F56" s="132"/>
      <c r="G56" s="218"/>
      <c r="H56" s="123"/>
    </row>
    <row r="57" spans="1:8" ht="15" customHeight="1" x14ac:dyDescent="0.25">
      <c r="A57" s="130" t="s">
        <v>39</v>
      </c>
      <c r="B57" s="131">
        <f>DATE(2014,7,1)</f>
        <v>41821</v>
      </c>
      <c r="C57" s="204">
        <v>13345838</v>
      </c>
      <c r="D57" s="204">
        <v>3102423</v>
      </c>
      <c r="E57" s="204">
        <v>2762564.05</v>
      </c>
      <c r="F57" s="132">
        <f t="shared" ref="F57:F65" si="8">(+D57-E57)/E57</f>
        <v>0.12302301190084632</v>
      </c>
      <c r="G57" s="215">
        <f t="shared" ref="G57:G65" si="9">D57/C57</f>
        <v>0.2324637089105982</v>
      </c>
      <c r="H57" s="123"/>
    </row>
    <row r="58" spans="1:8" ht="15" customHeight="1" x14ac:dyDescent="0.25">
      <c r="A58" s="130"/>
      <c r="B58" s="131">
        <f>DATE(2014,8,1)</f>
        <v>41852</v>
      </c>
      <c r="C58" s="204">
        <v>14046302</v>
      </c>
      <c r="D58" s="204">
        <v>2663132</v>
      </c>
      <c r="E58" s="204">
        <v>2695314.5</v>
      </c>
      <c r="F58" s="132">
        <f t="shared" si="8"/>
        <v>-1.1940165053094916E-2</v>
      </c>
      <c r="G58" s="215">
        <f t="shared" si="9"/>
        <v>0.18959666394756428</v>
      </c>
      <c r="H58" s="123"/>
    </row>
    <row r="59" spans="1:8" ht="15" customHeight="1" x14ac:dyDescent="0.25">
      <c r="A59" s="130"/>
      <c r="B59" s="131">
        <f>DATE(2014,9,1)</f>
        <v>41883</v>
      </c>
      <c r="C59" s="204">
        <v>14676997</v>
      </c>
      <c r="D59" s="204">
        <v>3098908.5</v>
      </c>
      <c r="E59" s="204">
        <v>2489578</v>
      </c>
      <c r="F59" s="132">
        <f t="shared" si="8"/>
        <v>0.24475252432339939</v>
      </c>
      <c r="G59" s="215">
        <f t="shared" si="9"/>
        <v>0.21114050101665893</v>
      </c>
      <c r="H59" s="123"/>
    </row>
    <row r="60" spans="1:8" ht="15" customHeight="1" x14ac:dyDescent="0.25">
      <c r="A60" s="130"/>
      <c r="B60" s="131">
        <f>DATE(2014,10,1)</f>
        <v>41913</v>
      </c>
      <c r="C60" s="204">
        <v>15546097</v>
      </c>
      <c r="D60" s="204">
        <v>3451515</v>
      </c>
      <c r="E60" s="204">
        <v>3395869.51</v>
      </c>
      <c r="F60" s="132">
        <f t="shared" si="8"/>
        <v>1.6386227396588106E-2</v>
      </c>
      <c r="G60" s="215">
        <f t="shared" si="9"/>
        <v>0.22201810525175547</v>
      </c>
      <c r="H60" s="123"/>
    </row>
    <row r="61" spans="1:8" ht="15" customHeight="1" x14ac:dyDescent="0.25">
      <c r="A61" s="130"/>
      <c r="B61" s="131">
        <f>DATE(2014,11,1)</f>
        <v>41944</v>
      </c>
      <c r="C61" s="204">
        <v>13930538</v>
      </c>
      <c r="D61" s="204">
        <v>3402947</v>
      </c>
      <c r="E61" s="204">
        <v>3253002.5</v>
      </c>
      <c r="F61" s="132">
        <f t="shared" si="8"/>
        <v>4.6094185294969801E-2</v>
      </c>
      <c r="G61" s="215">
        <f t="shared" si="9"/>
        <v>0.24427965380805824</v>
      </c>
      <c r="H61" s="123"/>
    </row>
    <row r="62" spans="1:8" ht="15" customHeight="1" x14ac:dyDescent="0.25">
      <c r="A62" s="130"/>
      <c r="B62" s="131">
        <f>DATE(2014,12,1)</f>
        <v>41974</v>
      </c>
      <c r="C62" s="204">
        <v>14930736</v>
      </c>
      <c r="D62" s="204">
        <v>3550949.5</v>
      </c>
      <c r="E62" s="204">
        <v>2630072</v>
      </c>
      <c r="F62" s="132">
        <f t="shared" si="8"/>
        <v>0.35013395070553199</v>
      </c>
      <c r="G62" s="215">
        <f t="shared" si="9"/>
        <v>0.23782816198745996</v>
      </c>
      <c r="H62" s="123"/>
    </row>
    <row r="63" spans="1:8" ht="15" customHeight="1" x14ac:dyDescent="0.25">
      <c r="A63" s="130"/>
      <c r="B63" s="131">
        <f>DATE(2015,1,1)</f>
        <v>42005</v>
      </c>
      <c r="C63" s="204">
        <v>13096423</v>
      </c>
      <c r="D63" s="204">
        <v>2878007.5</v>
      </c>
      <c r="E63" s="204">
        <v>2502587</v>
      </c>
      <c r="F63" s="132">
        <f t="shared" si="8"/>
        <v>0.15001296658218075</v>
      </c>
      <c r="G63" s="215">
        <f t="shared" si="9"/>
        <v>0.21975523392914234</v>
      </c>
      <c r="H63" s="123"/>
    </row>
    <row r="64" spans="1:8" ht="15" customHeight="1" x14ac:dyDescent="0.25">
      <c r="A64" s="130"/>
      <c r="B64" s="131">
        <f>DATE(2015,2,1)</f>
        <v>42036</v>
      </c>
      <c r="C64" s="204">
        <v>13266779</v>
      </c>
      <c r="D64" s="204">
        <v>2961573</v>
      </c>
      <c r="E64" s="204">
        <v>2457687</v>
      </c>
      <c r="F64" s="132">
        <f t="shared" si="8"/>
        <v>0.20502448033455847</v>
      </c>
      <c r="G64" s="215">
        <f t="shared" si="9"/>
        <v>0.22323225554597692</v>
      </c>
      <c r="H64" s="123"/>
    </row>
    <row r="65" spans="1:8" ht="15" customHeight="1" x14ac:dyDescent="0.25">
      <c r="A65" s="130"/>
      <c r="B65" s="131">
        <f>DATE(2015,3,1)</f>
        <v>42064</v>
      </c>
      <c r="C65" s="204">
        <v>15623181</v>
      </c>
      <c r="D65" s="204">
        <v>3940140.5</v>
      </c>
      <c r="E65" s="204">
        <v>2951671</v>
      </c>
      <c r="F65" s="132">
        <f t="shared" si="8"/>
        <v>0.33488471445496465</v>
      </c>
      <c r="G65" s="215">
        <f t="shared" si="9"/>
        <v>0.2521983519233375</v>
      </c>
      <c r="H65" s="123"/>
    </row>
    <row r="66" spans="1:8" ht="15.75" thickBot="1" x14ac:dyDescent="0.25">
      <c r="A66" s="133"/>
      <c r="B66" s="131"/>
      <c r="C66" s="204"/>
      <c r="D66" s="204"/>
      <c r="E66" s="204"/>
      <c r="F66" s="132"/>
      <c r="G66" s="215"/>
      <c r="H66" s="123"/>
    </row>
    <row r="67" spans="1:8" ht="17.25" customHeight="1" thickTop="1" thickBot="1" x14ac:dyDescent="0.3">
      <c r="A67" s="141" t="s">
        <v>14</v>
      </c>
      <c r="B67" s="142"/>
      <c r="C67" s="207">
        <f>SUM(C57:C66)</f>
        <v>128462891</v>
      </c>
      <c r="D67" s="263">
        <f>SUM(D57:D66)</f>
        <v>29049596</v>
      </c>
      <c r="E67" s="206">
        <f>SUM(E57:E66)</f>
        <v>25138345.559999999</v>
      </c>
      <c r="F67" s="270">
        <f>(+D67-E67)/E67</f>
        <v>0.15558901562016722</v>
      </c>
      <c r="G67" s="269">
        <f>D67/C67</f>
        <v>0.22613219875302354</v>
      </c>
      <c r="H67" s="123"/>
    </row>
    <row r="68" spans="1:8" ht="15.75" customHeight="1" thickTop="1" x14ac:dyDescent="0.25">
      <c r="A68" s="130"/>
      <c r="B68" s="134"/>
      <c r="C68" s="204"/>
      <c r="D68" s="204"/>
      <c r="E68" s="204"/>
      <c r="F68" s="132"/>
      <c r="G68" s="218"/>
      <c r="H68" s="123"/>
    </row>
    <row r="69" spans="1:8" ht="15.75" x14ac:dyDescent="0.25">
      <c r="A69" s="130" t="s">
        <v>68</v>
      </c>
      <c r="B69" s="131">
        <f>DATE(2014,7,1)</f>
        <v>41821</v>
      </c>
      <c r="C69" s="204">
        <v>2669287</v>
      </c>
      <c r="D69" s="204">
        <v>735730.5</v>
      </c>
      <c r="E69" s="204">
        <v>576221.5</v>
      </c>
      <c r="F69" s="132">
        <f t="shared" ref="F69:F77" si="10">(+D69-E69)/E69</f>
        <v>0.27681889689989003</v>
      </c>
      <c r="G69" s="215">
        <f t="shared" ref="G69:G77" si="11">D69/C69</f>
        <v>0.2756280984397706</v>
      </c>
      <c r="H69" s="123"/>
    </row>
    <row r="70" spans="1:8" ht="15.75" x14ac:dyDescent="0.25">
      <c r="A70" s="130"/>
      <c r="B70" s="131">
        <f>DATE(2014,8,1)</f>
        <v>41852</v>
      </c>
      <c r="C70" s="204">
        <v>2779084</v>
      </c>
      <c r="D70" s="204">
        <v>727825</v>
      </c>
      <c r="E70" s="204">
        <v>484224</v>
      </c>
      <c r="F70" s="132">
        <f t="shared" si="10"/>
        <v>0.50307502312979113</v>
      </c>
      <c r="G70" s="215">
        <f t="shared" si="11"/>
        <v>0.26189384703736912</v>
      </c>
      <c r="H70" s="123"/>
    </row>
    <row r="71" spans="1:8" ht="15.75" x14ac:dyDescent="0.25">
      <c r="A71" s="130"/>
      <c r="B71" s="131">
        <f>DATE(2014,9,1)</f>
        <v>41883</v>
      </c>
      <c r="C71" s="204">
        <v>2495606</v>
      </c>
      <c r="D71" s="204">
        <v>570839</v>
      </c>
      <c r="E71" s="204">
        <v>503451</v>
      </c>
      <c r="F71" s="132">
        <f t="shared" si="10"/>
        <v>0.13385215244383267</v>
      </c>
      <c r="G71" s="215">
        <f t="shared" si="11"/>
        <v>0.22873762925718241</v>
      </c>
      <c r="H71" s="123"/>
    </row>
    <row r="72" spans="1:8" ht="15.75" x14ac:dyDescent="0.25">
      <c r="A72" s="130"/>
      <c r="B72" s="131">
        <f>DATE(2014,10,1)</f>
        <v>41913</v>
      </c>
      <c r="C72" s="204">
        <v>2470729</v>
      </c>
      <c r="D72" s="204">
        <v>661480</v>
      </c>
      <c r="E72" s="204">
        <v>502149.5</v>
      </c>
      <c r="F72" s="132">
        <f t="shared" si="10"/>
        <v>0.31729694045299256</v>
      </c>
      <c r="G72" s="215">
        <f t="shared" si="11"/>
        <v>0.26772665071725793</v>
      </c>
      <c r="H72" s="123"/>
    </row>
    <row r="73" spans="1:8" ht="15.75" x14ac:dyDescent="0.25">
      <c r="A73" s="130"/>
      <c r="B73" s="131">
        <f>DATE(2014,11,1)</f>
        <v>41944</v>
      </c>
      <c r="C73" s="204">
        <v>2540157</v>
      </c>
      <c r="D73" s="204">
        <v>551813.5</v>
      </c>
      <c r="E73" s="204">
        <v>533704.5</v>
      </c>
      <c r="F73" s="132">
        <f t="shared" si="10"/>
        <v>3.3930761310800264E-2</v>
      </c>
      <c r="G73" s="215">
        <f t="shared" si="11"/>
        <v>0.21723598187041196</v>
      </c>
      <c r="H73" s="123"/>
    </row>
    <row r="74" spans="1:8" ht="15.75" x14ac:dyDescent="0.25">
      <c r="A74" s="130"/>
      <c r="B74" s="131">
        <f>DATE(2014,12,1)</f>
        <v>41974</v>
      </c>
      <c r="C74" s="204">
        <v>2833866</v>
      </c>
      <c r="D74" s="204">
        <v>613540.5</v>
      </c>
      <c r="E74" s="204">
        <v>531193.5</v>
      </c>
      <c r="F74" s="132">
        <f t="shared" si="10"/>
        <v>0.15502260475702356</v>
      </c>
      <c r="G74" s="215">
        <f t="shared" si="11"/>
        <v>0.2165030033177292</v>
      </c>
      <c r="H74" s="123"/>
    </row>
    <row r="75" spans="1:8" ht="15.75" x14ac:dyDescent="0.25">
      <c r="A75" s="130"/>
      <c r="B75" s="131">
        <f>DATE(2015,1,1)</f>
        <v>42005</v>
      </c>
      <c r="C75" s="204">
        <v>2667435</v>
      </c>
      <c r="D75" s="204">
        <v>634916</v>
      </c>
      <c r="E75" s="204">
        <v>601577.5</v>
      </c>
      <c r="F75" s="132">
        <f t="shared" si="10"/>
        <v>5.5418462292888278E-2</v>
      </c>
      <c r="G75" s="215">
        <f t="shared" si="11"/>
        <v>0.23802491907019291</v>
      </c>
      <c r="H75" s="123"/>
    </row>
    <row r="76" spans="1:8" ht="15.75" x14ac:dyDescent="0.25">
      <c r="A76" s="130"/>
      <c r="B76" s="131">
        <f>DATE(2015,2,1)</f>
        <v>42036</v>
      </c>
      <c r="C76" s="204">
        <v>2881370.5</v>
      </c>
      <c r="D76" s="204">
        <v>617008.5</v>
      </c>
      <c r="E76" s="204">
        <v>578293</v>
      </c>
      <c r="F76" s="132">
        <f t="shared" si="10"/>
        <v>6.6947896654464087E-2</v>
      </c>
      <c r="G76" s="215">
        <f t="shared" si="11"/>
        <v>0.21413716146535131</v>
      </c>
      <c r="H76" s="123"/>
    </row>
    <row r="77" spans="1:8" ht="15.75" x14ac:dyDescent="0.25">
      <c r="A77" s="130"/>
      <c r="B77" s="131">
        <f>DATE(2015,3,1)</f>
        <v>42064</v>
      </c>
      <c r="C77" s="204">
        <v>3179765</v>
      </c>
      <c r="D77" s="204">
        <v>700495.5</v>
      </c>
      <c r="E77" s="204">
        <v>703541.5</v>
      </c>
      <c r="F77" s="132">
        <f t="shared" si="10"/>
        <v>-4.3295242711339698E-3</v>
      </c>
      <c r="G77" s="215">
        <f t="shared" si="11"/>
        <v>0.22029788364863442</v>
      </c>
      <c r="H77" s="123"/>
    </row>
    <row r="78" spans="1:8" ht="15.75" customHeight="1" thickBot="1" x14ac:dyDescent="0.3">
      <c r="A78" s="130"/>
      <c r="B78" s="131"/>
      <c r="C78" s="204"/>
      <c r="D78" s="204"/>
      <c r="E78" s="204"/>
      <c r="F78" s="132"/>
      <c r="G78" s="215"/>
      <c r="H78" s="123"/>
    </row>
    <row r="79" spans="1:8" ht="17.25" thickTop="1" thickBot="1" x14ac:dyDescent="0.3">
      <c r="A79" s="141" t="s">
        <v>14</v>
      </c>
      <c r="B79" s="142"/>
      <c r="C79" s="207">
        <f>SUM(C69:C78)</f>
        <v>24517299.5</v>
      </c>
      <c r="D79" s="263">
        <f>SUM(D69:D78)</f>
        <v>5813648.5</v>
      </c>
      <c r="E79" s="207">
        <f>SUM(E69:E78)</f>
        <v>5014356</v>
      </c>
      <c r="F79" s="270">
        <f>(+D79-E79)/E79</f>
        <v>0.15940082834166541</v>
      </c>
      <c r="G79" s="269">
        <f>D79/C79</f>
        <v>0.23712434152872341</v>
      </c>
      <c r="H79" s="123"/>
    </row>
    <row r="80" spans="1:8" ht="15.75" customHeight="1" thickTop="1" x14ac:dyDescent="0.25">
      <c r="A80" s="130"/>
      <c r="B80" s="134"/>
      <c r="C80" s="204"/>
      <c r="D80" s="204"/>
      <c r="E80" s="204"/>
      <c r="F80" s="132"/>
      <c r="G80" s="218"/>
      <c r="H80" s="123"/>
    </row>
    <row r="81" spans="1:8" ht="15.75" x14ac:dyDescent="0.25">
      <c r="A81" s="130" t="s">
        <v>17</v>
      </c>
      <c r="B81" s="131">
        <f>DATE(2014,7,1)</f>
        <v>41821</v>
      </c>
      <c r="C81" s="204">
        <v>2090125.25</v>
      </c>
      <c r="D81" s="204">
        <v>301337.75</v>
      </c>
      <c r="E81" s="204">
        <v>408942</v>
      </c>
      <c r="F81" s="132">
        <f t="shared" ref="F81:F89" si="12">(+D81-E81)/E81</f>
        <v>-0.26312838984501469</v>
      </c>
      <c r="G81" s="215">
        <f t="shared" ref="G81:G89" si="13">D81/C81</f>
        <v>0.14417210164797539</v>
      </c>
      <c r="H81" s="123"/>
    </row>
    <row r="82" spans="1:8" ht="15.75" x14ac:dyDescent="0.25">
      <c r="A82" s="130"/>
      <c r="B82" s="131">
        <f>DATE(2014,8,1)</f>
        <v>41852</v>
      </c>
      <c r="C82" s="204">
        <v>2291076.5099999998</v>
      </c>
      <c r="D82" s="204">
        <v>367412.51</v>
      </c>
      <c r="E82" s="204">
        <v>382224</v>
      </c>
      <c r="F82" s="132">
        <f t="shared" si="12"/>
        <v>-3.8750811042739315E-2</v>
      </c>
      <c r="G82" s="215">
        <f t="shared" si="13"/>
        <v>0.16036675702288095</v>
      </c>
      <c r="H82" s="123"/>
    </row>
    <row r="83" spans="1:8" ht="15.75" x14ac:dyDescent="0.25">
      <c r="A83" s="130"/>
      <c r="B83" s="131">
        <f>DATE(2014,9,1)</f>
        <v>41883</v>
      </c>
      <c r="C83" s="204">
        <v>1978247.25</v>
      </c>
      <c r="D83" s="204">
        <v>473348.25</v>
      </c>
      <c r="E83" s="204">
        <v>379540.5</v>
      </c>
      <c r="F83" s="132">
        <f t="shared" si="12"/>
        <v>0.24716137013046038</v>
      </c>
      <c r="G83" s="215">
        <f t="shared" si="13"/>
        <v>0.23927658688771083</v>
      </c>
      <c r="H83" s="123"/>
    </row>
    <row r="84" spans="1:8" ht="15.75" x14ac:dyDescent="0.25">
      <c r="A84" s="130"/>
      <c r="B84" s="131">
        <f>DATE(2014,10,1)</f>
        <v>41913</v>
      </c>
      <c r="C84" s="204">
        <v>2152537.1</v>
      </c>
      <c r="D84" s="204">
        <v>303884.59999999998</v>
      </c>
      <c r="E84" s="204">
        <v>521112.5</v>
      </c>
      <c r="F84" s="132">
        <f t="shared" si="12"/>
        <v>-0.41685413418407735</v>
      </c>
      <c r="G84" s="215">
        <f t="shared" si="13"/>
        <v>0.14117508125643918</v>
      </c>
      <c r="H84" s="123"/>
    </row>
    <row r="85" spans="1:8" ht="15.75" x14ac:dyDescent="0.25">
      <c r="A85" s="130"/>
      <c r="B85" s="131">
        <f>DATE(2014,11,1)</f>
        <v>41944</v>
      </c>
      <c r="C85" s="204">
        <v>1923126.5</v>
      </c>
      <c r="D85" s="204">
        <v>299669.5</v>
      </c>
      <c r="E85" s="204">
        <v>377449</v>
      </c>
      <c r="F85" s="132">
        <f t="shared" si="12"/>
        <v>-0.20606625000993511</v>
      </c>
      <c r="G85" s="215">
        <f t="shared" si="13"/>
        <v>0.15582412285411282</v>
      </c>
      <c r="H85" s="123"/>
    </row>
    <row r="86" spans="1:8" ht="15.75" x14ac:dyDescent="0.25">
      <c r="A86" s="130"/>
      <c r="B86" s="131">
        <f>DATE(2014,12,1)</f>
        <v>41974</v>
      </c>
      <c r="C86" s="204">
        <v>2050081.2</v>
      </c>
      <c r="D86" s="204">
        <v>221697.7</v>
      </c>
      <c r="E86" s="204">
        <v>343968.01</v>
      </c>
      <c r="F86" s="132">
        <f t="shared" si="12"/>
        <v>-0.35547000431813408</v>
      </c>
      <c r="G86" s="215">
        <f t="shared" si="13"/>
        <v>0.108140936076093</v>
      </c>
      <c r="H86" s="123"/>
    </row>
    <row r="87" spans="1:8" ht="15.75" x14ac:dyDescent="0.25">
      <c r="A87" s="130"/>
      <c r="B87" s="131">
        <f>DATE(2015,1,1)</f>
        <v>42005</v>
      </c>
      <c r="C87" s="204">
        <v>2111704</v>
      </c>
      <c r="D87" s="204">
        <v>267024.5</v>
      </c>
      <c r="E87" s="204">
        <v>484574.5</v>
      </c>
      <c r="F87" s="132">
        <f t="shared" si="12"/>
        <v>-0.44895057416351869</v>
      </c>
      <c r="G87" s="215">
        <f t="shared" si="13"/>
        <v>0.12644977705208685</v>
      </c>
      <c r="H87" s="123"/>
    </row>
    <row r="88" spans="1:8" ht="15.75" x14ac:dyDescent="0.25">
      <c r="A88" s="130"/>
      <c r="B88" s="131">
        <f>DATE(2015,2,1)</f>
        <v>42036</v>
      </c>
      <c r="C88" s="204">
        <v>2208436.5</v>
      </c>
      <c r="D88" s="204">
        <v>434098</v>
      </c>
      <c r="E88" s="204">
        <v>360678.5</v>
      </c>
      <c r="F88" s="132">
        <f t="shared" si="12"/>
        <v>0.20355940262588426</v>
      </c>
      <c r="G88" s="215">
        <f t="shared" si="13"/>
        <v>0.1965634963921308</v>
      </c>
      <c r="H88" s="123"/>
    </row>
    <row r="89" spans="1:8" ht="15.75" x14ac:dyDescent="0.25">
      <c r="A89" s="130"/>
      <c r="B89" s="131">
        <f>DATE(2015,3,1)</f>
        <v>42064</v>
      </c>
      <c r="C89" s="204">
        <v>2213707.5</v>
      </c>
      <c r="D89" s="204">
        <v>464649</v>
      </c>
      <c r="E89" s="204">
        <v>538343</v>
      </c>
      <c r="F89" s="132">
        <f t="shared" si="12"/>
        <v>-0.13689042116271596</v>
      </c>
      <c r="G89" s="215">
        <f t="shared" si="13"/>
        <v>0.20989629388706502</v>
      </c>
      <c r="H89" s="123"/>
    </row>
    <row r="90" spans="1:8" ht="15.75" customHeight="1" thickBot="1" x14ac:dyDescent="0.3">
      <c r="A90" s="130"/>
      <c r="B90" s="131"/>
      <c r="C90" s="204"/>
      <c r="D90" s="204"/>
      <c r="E90" s="204"/>
      <c r="F90" s="132"/>
      <c r="G90" s="215"/>
      <c r="H90" s="123"/>
    </row>
    <row r="91" spans="1:8" ht="17.25" thickTop="1" thickBot="1" x14ac:dyDescent="0.3">
      <c r="A91" s="141" t="s">
        <v>14</v>
      </c>
      <c r="B91" s="142"/>
      <c r="C91" s="207">
        <f>SUM(C81:C90)</f>
        <v>19019041.809999999</v>
      </c>
      <c r="D91" s="263">
        <f>SUM(D81:D90)</f>
        <v>3133121.8099999996</v>
      </c>
      <c r="E91" s="207">
        <f>SUM(E81:E90)</f>
        <v>3796832.01</v>
      </c>
      <c r="F91" s="271">
        <f>(+D91-E91)/E91</f>
        <v>-0.17480631174935765</v>
      </c>
      <c r="G91" s="269">
        <f>D91/C91</f>
        <v>0.16473604933938571</v>
      </c>
      <c r="H91" s="123"/>
    </row>
    <row r="92" spans="1:8" ht="15.75" customHeight="1" thickTop="1" x14ac:dyDescent="0.25">
      <c r="A92" s="130"/>
      <c r="B92" s="139"/>
      <c r="C92" s="205"/>
      <c r="D92" s="205"/>
      <c r="E92" s="205"/>
      <c r="F92" s="140"/>
      <c r="G92" s="216"/>
      <c r="H92" s="123"/>
    </row>
    <row r="93" spans="1:8" ht="15.75" x14ac:dyDescent="0.25">
      <c r="A93" s="130" t="s">
        <v>69</v>
      </c>
      <c r="B93" s="131">
        <f>DATE(2014,7,1)</f>
        <v>41821</v>
      </c>
      <c r="C93" s="204">
        <v>11472720</v>
      </c>
      <c r="D93" s="204">
        <v>2162151.44</v>
      </c>
      <c r="E93" s="204">
        <v>2052769.15</v>
      </c>
      <c r="F93" s="132">
        <f t="shared" ref="F93:F101" si="14">(+D93-E93)/E93</f>
        <v>5.3285236676515739E-2</v>
      </c>
      <c r="G93" s="215">
        <f t="shared" ref="G93:G101" si="15">D93/C93</f>
        <v>0.18846022913485205</v>
      </c>
      <c r="H93" s="123"/>
    </row>
    <row r="94" spans="1:8" ht="15.75" x14ac:dyDescent="0.25">
      <c r="A94" s="130"/>
      <c r="B94" s="131">
        <f>DATE(2014,8,1)</f>
        <v>41852</v>
      </c>
      <c r="C94" s="204">
        <v>13269259</v>
      </c>
      <c r="D94" s="204">
        <v>2638324.5</v>
      </c>
      <c r="E94" s="204">
        <v>2822221.23</v>
      </c>
      <c r="F94" s="132">
        <f t="shared" si="14"/>
        <v>-6.5160281570130485E-2</v>
      </c>
      <c r="G94" s="215">
        <f t="shared" si="15"/>
        <v>0.19882982915624753</v>
      </c>
      <c r="H94" s="123"/>
    </row>
    <row r="95" spans="1:8" ht="15.75" x14ac:dyDescent="0.25">
      <c r="A95" s="130"/>
      <c r="B95" s="131">
        <f>DATE(2014,9,1)</f>
        <v>41883</v>
      </c>
      <c r="C95" s="204">
        <v>11946830</v>
      </c>
      <c r="D95" s="204">
        <v>2375626.6800000002</v>
      </c>
      <c r="E95" s="204">
        <v>2714506.57</v>
      </c>
      <c r="F95" s="132">
        <f t="shared" si="14"/>
        <v>-0.12484032779482265</v>
      </c>
      <c r="G95" s="215">
        <f t="shared" si="15"/>
        <v>0.19884996103568897</v>
      </c>
      <c r="H95" s="123"/>
    </row>
    <row r="96" spans="1:8" ht="15.75" x14ac:dyDescent="0.25">
      <c r="A96" s="130"/>
      <c r="B96" s="131">
        <f>DATE(2014,10,1)</f>
        <v>41913</v>
      </c>
      <c r="C96" s="204">
        <v>12288319</v>
      </c>
      <c r="D96" s="204">
        <v>2426645.58</v>
      </c>
      <c r="E96" s="204">
        <v>3336766</v>
      </c>
      <c r="F96" s="132">
        <f t="shared" si="14"/>
        <v>-0.27275524265111784</v>
      </c>
      <c r="G96" s="215">
        <f t="shared" si="15"/>
        <v>0.19747579632332138</v>
      </c>
      <c r="H96" s="123"/>
    </row>
    <row r="97" spans="1:8" ht="15.75" x14ac:dyDescent="0.25">
      <c r="A97" s="130"/>
      <c r="B97" s="131">
        <f>DATE(2014,11,1)</f>
        <v>41944</v>
      </c>
      <c r="C97" s="204">
        <v>10760412</v>
      </c>
      <c r="D97" s="204">
        <v>2399078.7999999998</v>
      </c>
      <c r="E97" s="204">
        <v>1994777.59</v>
      </c>
      <c r="F97" s="132">
        <f t="shared" si="14"/>
        <v>0.20267984362106239</v>
      </c>
      <c r="G97" s="215">
        <f t="shared" si="15"/>
        <v>0.2229541768475036</v>
      </c>
      <c r="H97" s="123"/>
    </row>
    <row r="98" spans="1:8" ht="15.75" x14ac:dyDescent="0.25">
      <c r="A98" s="130"/>
      <c r="B98" s="131">
        <f>DATE(2014,12,1)</f>
        <v>41974</v>
      </c>
      <c r="C98" s="204">
        <v>10151536.5</v>
      </c>
      <c r="D98" s="204">
        <v>1781216.99</v>
      </c>
      <c r="E98" s="204">
        <v>2866220.63</v>
      </c>
      <c r="F98" s="132">
        <f t="shared" si="14"/>
        <v>-0.37854854181270753</v>
      </c>
      <c r="G98" s="215">
        <f t="shared" si="15"/>
        <v>0.17546279718346086</v>
      </c>
      <c r="H98" s="123"/>
    </row>
    <row r="99" spans="1:8" ht="15.75" x14ac:dyDescent="0.25">
      <c r="A99" s="130"/>
      <c r="B99" s="131">
        <f>DATE(2015,1,1)</f>
        <v>42005</v>
      </c>
      <c r="C99" s="204">
        <v>9369967</v>
      </c>
      <c r="D99" s="204">
        <v>2098089.29</v>
      </c>
      <c r="E99" s="204">
        <v>2274577.62</v>
      </c>
      <c r="F99" s="132">
        <f t="shared" si="14"/>
        <v>-7.7591693705313103E-2</v>
      </c>
      <c r="G99" s="215">
        <f t="shared" si="15"/>
        <v>0.22391640119970541</v>
      </c>
      <c r="H99" s="123"/>
    </row>
    <row r="100" spans="1:8" ht="15.75" x14ac:dyDescent="0.25">
      <c r="A100" s="130"/>
      <c r="B100" s="131">
        <f>DATE(2015,2,1)</f>
        <v>42036</v>
      </c>
      <c r="C100" s="204">
        <v>12010995</v>
      </c>
      <c r="D100" s="204">
        <v>2353284.36</v>
      </c>
      <c r="E100" s="204">
        <v>2249391.6800000002</v>
      </c>
      <c r="F100" s="132">
        <f t="shared" si="14"/>
        <v>4.6187011770222115E-2</v>
      </c>
      <c r="G100" s="215">
        <f t="shared" si="15"/>
        <v>0.19592751141766354</v>
      </c>
      <c r="H100" s="123"/>
    </row>
    <row r="101" spans="1:8" ht="15.75" x14ac:dyDescent="0.25">
      <c r="A101" s="130"/>
      <c r="B101" s="131">
        <f>DATE(2015,3,1)</f>
        <v>42064</v>
      </c>
      <c r="C101" s="204">
        <v>13218298</v>
      </c>
      <c r="D101" s="204">
        <v>2431528.27</v>
      </c>
      <c r="E101" s="204">
        <v>3145989.62</v>
      </c>
      <c r="F101" s="132">
        <f t="shared" si="14"/>
        <v>-0.22710225916130011</v>
      </c>
      <c r="G101" s="215">
        <f t="shared" si="15"/>
        <v>0.18395169105735096</v>
      </c>
      <c r="H101" s="123"/>
    </row>
    <row r="102" spans="1:8" ht="15.75" customHeight="1" thickBot="1" x14ac:dyDescent="0.3">
      <c r="A102" s="130"/>
      <c r="B102" s="131"/>
      <c r="C102" s="204"/>
      <c r="D102" s="204"/>
      <c r="E102" s="204"/>
      <c r="F102" s="132"/>
      <c r="G102" s="215"/>
      <c r="H102" s="123"/>
    </row>
    <row r="103" spans="1:8" ht="17.25" thickTop="1" thickBot="1" x14ac:dyDescent="0.3">
      <c r="A103" s="141" t="s">
        <v>14</v>
      </c>
      <c r="B103" s="142"/>
      <c r="C103" s="206">
        <f>SUM(C93:C102)</f>
        <v>104488336.5</v>
      </c>
      <c r="D103" s="206">
        <f>SUM(D93:D102)</f>
        <v>20665945.91</v>
      </c>
      <c r="E103" s="206">
        <f>SUM(E93:E102)</f>
        <v>23457220.09</v>
      </c>
      <c r="F103" s="143">
        <f>(+D103-E103)/E103</f>
        <v>-0.11899424438575917</v>
      </c>
      <c r="G103" s="217">
        <f>D103/C103</f>
        <v>0.19778232291027048</v>
      </c>
      <c r="H103" s="123"/>
    </row>
    <row r="104" spans="1:8" ht="15.75" customHeight="1" thickTop="1" x14ac:dyDescent="0.25">
      <c r="A104" s="138"/>
      <c r="B104" s="139"/>
      <c r="C104" s="205"/>
      <c r="D104" s="205"/>
      <c r="E104" s="205"/>
      <c r="F104" s="140"/>
      <c r="G104" s="216"/>
      <c r="H104" s="123"/>
    </row>
    <row r="105" spans="1:8" ht="15.75" x14ac:dyDescent="0.25">
      <c r="A105" s="130" t="s">
        <v>18</v>
      </c>
      <c r="B105" s="131">
        <f>DATE(2014,7,1)</f>
        <v>41821</v>
      </c>
      <c r="C105" s="204">
        <v>8409590</v>
      </c>
      <c r="D105" s="204">
        <v>1710881</v>
      </c>
      <c r="E105" s="204">
        <v>2139547</v>
      </c>
      <c r="F105" s="132">
        <f t="shared" ref="F105:F113" si="16">(+D105-E105)/E105</f>
        <v>-0.20035362625826869</v>
      </c>
      <c r="G105" s="215">
        <f t="shared" ref="G105:G113" si="17">D105/C105</f>
        <v>0.2034440442399689</v>
      </c>
      <c r="H105" s="123"/>
    </row>
    <row r="106" spans="1:8" ht="15.75" x14ac:dyDescent="0.25">
      <c r="A106" s="130"/>
      <c r="B106" s="131">
        <f>DATE(2014,8,1)</f>
        <v>41852</v>
      </c>
      <c r="C106" s="204">
        <v>8842004</v>
      </c>
      <c r="D106" s="204">
        <v>2016444</v>
      </c>
      <c r="E106" s="204">
        <v>1918123.5</v>
      </c>
      <c r="F106" s="132">
        <f t="shared" si="16"/>
        <v>5.1258691111390899E-2</v>
      </c>
      <c r="G106" s="215">
        <f t="shared" si="17"/>
        <v>0.22805282603355528</v>
      </c>
      <c r="H106" s="123"/>
    </row>
    <row r="107" spans="1:8" ht="15.75" x14ac:dyDescent="0.25">
      <c r="A107" s="130"/>
      <c r="B107" s="131">
        <f>DATE(2014,9,1)</f>
        <v>41883</v>
      </c>
      <c r="C107" s="204">
        <v>8323348.5</v>
      </c>
      <c r="D107" s="204">
        <v>1741477</v>
      </c>
      <c r="E107" s="204">
        <v>1434018</v>
      </c>
      <c r="F107" s="132">
        <f t="shared" si="16"/>
        <v>0.21440386382876644</v>
      </c>
      <c r="G107" s="215">
        <f t="shared" si="17"/>
        <v>0.20922793272443177</v>
      </c>
      <c r="H107" s="123"/>
    </row>
    <row r="108" spans="1:8" ht="15.75" x14ac:dyDescent="0.25">
      <c r="A108" s="130"/>
      <c r="B108" s="131">
        <f>DATE(2014,10,1)</f>
        <v>41913</v>
      </c>
      <c r="C108" s="204">
        <v>8462735</v>
      </c>
      <c r="D108" s="204">
        <v>2135188.5</v>
      </c>
      <c r="E108" s="204">
        <v>1987279.5</v>
      </c>
      <c r="F108" s="132">
        <f t="shared" si="16"/>
        <v>7.442787992328205E-2</v>
      </c>
      <c r="G108" s="215">
        <f t="shared" si="17"/>
        <v>0.25230478090120984</v>
      </c>
      <c r="H108" s="123"/>
    </row>
    <row r="109" spans="1:8" ht="15.75" x14ac:dyDescent="0.25">
      <c r="A109" s="130"/>
      <c r="B109" s="131">
        <f>DATE(2014,11,1)</f>
        <v>41944</v>
      </c>
      <c r="C109" s="204">
        <v>8439358</v>
      </c>
      <c r="D109" s="204">
        <v>2079297.5</v>
      </c>
      <c r="E109" s="204">
        <v>1974557.5</v>
      </c>
      <c r="F109" s="132">
        <f t="shared" si="16"/>
        <v>5.3044796112546734E-2</v>
      </c>
      <c r="G109" s="215">
        <f t="shared" si="17"/>
        <v>0.24638100433705976</v>
      </c>
      <c r="H109" s="123"/>
    </row>
    <row r="110" spans="1:8" ht="15.75" x14ac:dyDescent="0.25">
      <c r="A110" s="130"/>
      <c r="B110" s="131">
        <f>DATE(2014,12,1)</f>
        <v>41974</v>
      </c>
      <c r="C110" s="204">
        <v>9065436.75</v>
      </c>
      <c r="D110" s="204">
        <v>1998357.25</v>
      </c>
      <c r="E110" s="204">
        <v>1818724</v>
      </c>
      <c r="F110" s="132">
        <f t="shared" si="16"/>
        <v>9.8768834633512284E-2</v>
      </c>
      <c r="G110" s="215">
        <f t="shared" si="17"/>
        <v>0.22043695247225678</v>
      </c>
      <c r="H110" s="123"/>
    </row>
    <row r="111" spans="1:8" ht="15.75" x14ac:dyDescent="0.25">
      <c r="A111" s="130"/>
      <c r="B111" s="131">
        <f>DATE(2015,1,1)</f>
        <v>42005</v>
      </c>
      <c r="C111" s="204">
        <v>9260495</v>
      </c>
      <c r="D111" s="204">
        <v>2020720</v>
      </c>
      <c r="E111" s="204">
        <v>1835740</v>
      </c>
      <c r="F111" s="132">
        <f t="shared" si="16"/>
        <v>0.10076590366827547</v>
      </c>
      <c r="G111" s="215">
        <f t="shared" si="17"/>
        <v>0.21820863787518918</v>
      </c>
      <c r="H111" s="123"/>
    </row>
    <row r="112" spans="1:8" ht="15.75" x14ac:dyDescent="0.25">
      <c r="A112" s="130"/>
      <c r="B112" s="131">
        <f>DATE(2015,2,1)</f>
        <v>42036</v>
      </c>
      <c r="C112" s="204">
        <v>9907841</v>
      </c>
      <c r="D112" s="204">
        <v>2216560</v>
      </c>
      <c r="E112" s="204">
        <v>1916892</v>
      </c>
      <c r="F112" s="132">
        <f t="shared" si="16"/>
        <v>0.15633014275191298</v>
      </c>
      <c r="G112" s="215">
        <f t="shared" si="17"/>
        <v>0.2237177605090756</v>
      </c>
      <c r="H112" s="123"/>
    </row>
    <row r="113" spans="1:8" ht="15.75" x14ac:dyDescent="0.25">
      <c r="A113" s="130"/>
      <c r="B113" s="131">
        <f>DATE(2015,3,1)</f>
        <v>42064</v>
      </c>
      <c r="C113" s="204">
        <v>12060555</v>
      </c>
      <c r="D113" s="204">
        <v>2870936.5</v>
      </c>
      <c r="E113" s="204">
        <v>1810089</v>
      </c>
      <c r="F113" s="132">
        <f t="shared" si="16"/>
        <v>0.58607477311889089</v>
      </c>
      <c r="G113" s="215">
        <f t="shared" si="17"/>
        <v>0.23804348141524168</v>
      </c>
      <c r="H113" s="123"/>
    </row>
    <row r="114" spans="1:8" ht="15.75" customHeight="1" thickBot="1" x14ac:dyDescent="0.3">
      <c r="A114" s="130"/>
      <c r="B114" s="131"/>
      <c r="C114" s="204"/>
      <c r="D114" s="204"/>
      <c r="E114" s="204"/>
      <c r="F114" s="132"/>
      <c r="G114" s="215"/>
      <c r="H114" s="123"/>
    </row>
    <row r="115" spans="1:8" ht="17.25" thickTop="1" thickBot="1" x14ac:dyDescent="0.3">
      <c r="A115" s="141" t="s">
        <v>14</v>
      </c>
      <c r="B115" s="142"/>
      <c r="C115" s="206">
        <f>SUM(C105:C114)</f>
        <v>82771363.25</v>
      </c>
      <c r="D115" s="206">
        <f>SUM(D105:D114)</f>
        <v>18789861.75</v>
      </c>
      <c r="E115" s="206">
        <f>SUM(E105:E114)</f>
        <v>16834970.5</v>
      </c>
      <c r="F115" s="143">
        <f>(+D115-E115)/E115</f>
        <v>0.11612085984944256</v>
      </c>
      <c r="G115" s="217">
        <f>D115/C115</f>
        <v>0.22700920961332602</v>
      </c>
      <c r="H115" s="123"/>
    </row>
    <row r="116" spans="1:8" ht="15.75" customHeight="1" thickTop="1" x14ac:dyDescent="0.25">
      <c r="A116" s="138"/>
      <c r="B116" s="139"/>
      <c r="C116" s="205"/>
      <c r="D116" s="205"/>
      <c r="E116" s="205"/>
      <c r="F116" s="140"/>
      <c r="G116" s="216"/>
      <c r="H116" s="123"/>
    </row>
    <row r="117" spans="1:8" ht="15.75" x14ac:dyDescent="0.25">
      <c r="A117" s="130" t="s">
        <v>58</v>
      </c>
      <c r="B117" s="131">
        <f>DATE(2014,7,1)</f>
        <v>41821</v>
      </c>
      <c r="C117" s="204">
        <v>8964729</v>
      </c>
      <c r="D117" s="204">
        <v>1919455.5</v>
      </c>
      <c r="E117" s="204">
        <v>1531315.5</v>
      </c>
      <c r="F117" s="132">
        <f t="shared" ref="F117:F125" si="18">(+D117-E117)/E117</f>
        <v>0.2534683414358439</v>
      </c>
      <c r="G117" s="215">
        <f t="shared" ref="G117:G125" si="19">D117/C117</f>
        <v>0.21411193801842754</v>
      </c>
      <c r="H117" s="123"/>
    </row>
    <row r="118" spans="1:8" ht="15.75" x14ac:dyDescent="0.25">
      <c r="A118" s="130"/>
      <c r="B118" s="131">
        <f>DATE(2014,8,1)</f>
        <v>41852</v>
      </c>
      <c r="C118" s="204">
        <v>9092674</v>
      </c>
      <c r="D118" s="204">
        <v>1923950.5</v>
      </c>
      <c r="E118" s="204">
        <v>1844528.75</v>
      </c>
      <c r="F118" s="132">
        <f t="shared" si="18"/>
        <v>4.3058016851187597E-2</v>
      </c>
      <c r="G118" s="215">
        <f t="shared" si="19"/>
        <v>0.21159347624252228</v>
      </c>
      <c r="H118" s="123"/>
    </row>
    <row r="119" spans="1:8" ht="15.75" x14ac:dyDescent="0.25">
      <c r="A119" s="130"/>
      <c r="B119" s="131">
        <f>DATE(2014,9,1)</f>
        <v>41883</v>
      </c>
      <c r="C119" s="204">
        <v>8203052.5</v>
      </c>
      <c r="D119" s="204">
        <v>2150849.5</v>
      </c>
      <c r="E119" s="204">
        <v>1674570</v>
      </c>
      <c r="F119" s="132">
        <f t="shared" si="18"/>
        <v>0.2844189851723129</v>
      </c>
      <c r="G119" s="215">
        <f t="shared" si="19"/>
        <v>0.26220111354888925</v>
      </c>
      <c r="H119" s="123"/>
    </row>
    <row r="120" spans="1:8" ht="15.75" x14ac:dyDescent="0.25">
      <c r="A120" s="130"/>
      <c r="B120" s="131">
        <f>DATE(2014,10,1)</f>
        <v>41913</v>
      </c>
      <c r="C120" s="204">
        <v>8717437</v>
      </c>
      <c r="D120" s="204">
        <v>1663467.5</v>
      </c>
      <c r="E120" s="204">
        <v>1767609</v>
      </c>
      <c r="F120" s="132">
        <f t="shared" si="18"/>
        <v>-5.8916592979556003E-2</v>
      </c>
      <c r="G120" s="215">
        <f t="shared" si="19"/>
        <v>0.19082070796726147</v>
      </c>
      <c r="H120" s="123"/>
    </row>
    <row r="121" spans="1:8" ht="15.75" x14ac:dyDescent="0.25">
      <c r="A121" s="130"/>
      <c r="B121" s="131">
        <f>DATE(2014,11,1)</f>
        <v>41944</v>
      </c>
      <c r="C121" s="204">
        <v>9424612</v>
      </c>
      <c r="D121" s="204">
        <v>1871060.5</v>
      </c>
      <c r="E121" s="204">
        <v>2709472</v>
      </c>
      <c r="F121" s="132">
        <f t="shared" si="18"/>
        <v>-0.30943722614590591</v>
      </c>
      <c r="G121" s="215">
        <f t="shared" si="19"/>
        <v>0.19852918082993762</v>
      </c>
      <c r="H121" s="123"/>
    </row>
    <row r="122" spans="1:8" ht="15.75" x14ac:dyDescent="0.25">
      <c r="A122" s="130"/>
      <c r="B122" s="131">
        <f>DATE(2014,12,1)</f>
        <v>41974</v>
      </c>
      <c r="C122" s="204">
        <v>10518722.5</v>
      </c>
      <c r="D122" s="204">
        <v>2246516</v>
      </c>
      <c r="E122" s="204">
        <v>2234533.5</v>
      </c>
      <c r="F122" s="132">
        <f t="shared" si="18"/>
        <v>5.3624168086985492E-3</v>
      </c>
      <c r="G122" s="215">
        <f t="shared" si="19"/>
        <v>0.21357308361352817</v>
      </c>
      <c r="H122" s="123"/>
    </row>
    <row r="123" spans="1:8" ht="15.75" x14ac:dyDescent="0.25">
      <c r="A123" s="130"/>
      <c r="B123" s="131">
        <f>DATE(2015,1,1)</f>
        <v>42005</v>
      </c>
      <c r="C123" s="204">
        <v>9743597.5</v>
      </c>
      <c r="D123" s="204">
        <v>1838020</v>
      </c>
      <c r="E123" s="204">
        <v>1662047.5</v>
      </c>
      <c r="F123" s="132">
        <f t="shared" si="18"/>
        <v>0.10587693793348264</v>
      </c>
      <c r="G123" s="215">
        <f t="shared" si="19"/>
        <v>0.18863874457047308</v>
      </c>
      <c r="H123" s="123"/>
    </row>
    <row r="124" spans="1:8" ht="15.75" x14ac:dyDescent="0.25">
      <c r="A124" s="130"/>
      <c r="B124" s="131">
        <f>DATE(2015,2,1)</f>
        <v>42036</v>
      </c>
      <c r="C124" s="204">
        <v>9436500</v>
      </c>
      <c r="D124" s="204">
        <v>1919498</v>
      </c>
      <c r="E124" s="204">
        <v>1632886</v>
      </c>
      <c r="F124" s="132">
        <f t="shared" si="18"/>
        <v>0.17552480699816153</v>
      </c>
      <c r="G124" s="215">
        <f t="shared" si="19"/>
        <v>0.20341207015312882</v>
      </c>
      <c r="H124" s="123"/>
    </row>
    <row r="125" spans="1:8" ht="15.75" x14ac:dyDescent="0.25">
      <c r="A125" s="130"/>
      <c r="B125" s="131">
        <f>DATE(2015,3,1)</f>
        <v>42064</v>
      </c>
      <c r="C125" s="204">
        <v>11321414</v>
      </c>
      <c r="D125" s="204">
        <v>2022840</v>
      </c>
      <c r="E125" s="204">
        <v>2170786</v>
      </c>
      <c r="F125" s="132">
        <f t="shared" si="18"/>
        <v>-6.8153194280781246E-2</v>
      </c>
      <c r="G125" s="215">
        <f t="shared" si="19"/>
        <v>0.17867379463377983</v>
      </c>
      <c r="H125" s="123"/>
    </row>
    <row r="126" spans="1:8" ht="15.75" thickBot="1" x14ac:dyDescent="0.25">
      <c r="A126" s="133"/>
      <c r="B126" s="131"/>
      <c r="C126" s="204"/>
      <c r="D126" s="204"/>
      <c r="E126" s="204"/>
      <c r="F126" s="132"/>
      <c r="G126" s="215"/>
      <c r="H126" s="123"/>
    </row>
    <row r="127" spans="1:8" ht="17.25" thickTop="1" thickBot="1" x14ac:dyDescent="0.3">
      <c r="A127" s="141" t="s">
        <v>14</v>
      </c>
      <c r="B127" s="142"/>
      <c r="C127" s="207">
        <f>SUM(C117:C126)</f>
        <v>85422738.5</v>
      </c>
      <c r="D127" s="207">
        <f>SUM(D117:D126)</f>
        <v>17555657.5</v>
      </c>
      <c r="E127" s="207">
        <f>SUM(E117:E126)</f>
        <v>17227748.25</v>
      </c>
      <c r="F127" s="143">
        <f>(+D127-E127)/E127</f>
        <v>1.9033784638686022E-2</v>
      </c>
      <c r="G127" s="269">
        <f>D127/C127</f>
        <v>0.20551503976894864</v>
      </c>
      <c r="H127" s="123"/>
    </row>
    <row r="128" spans="1:8" ht="15.75" customHeight="1" thickTop="1" x14ac:dyDescent="0.25">
      <c r="A128" s="138"/>
      <c r="B128" s="139"/>
      <c r="C128" s="205"/>
      <c r="D128" s="205"/>
      <c r="E128" s="205"/>
      <c r="F128" s="140"/>
      <c r="G128" s="219"/>
      <c r="H128" s="123"/>
    </row>
    <row r="129" spans="1:8" ht="15.75" x14ac:dyDescent="0.25">
      <c r="A129" s="130" t="s">
        <v>59</v>
      </c>
      <c r="B129" s="131">
        <f>DATE(2014,7,1)</f>
        <v>41821</v>
      </c>
      <c r="C129" s="204">
        <v>854553</v>
      </c>
      <c r="D129" s="204">
        <v>194050.5</v>
      </c>
      <c r="E129" s="204">
        <v>203697.5</v>
      </c>
      <c r="F129" s="132">
        <f t="shared" ref="F129:F137" si="20">(+D129-E129)/E129</f>
        <v>-4.735944231028854E-2</v>
      </c>
      <c r="G129" s="215">
        <f t="shared" ref="G129:G137" si="21">D129/C129</f>
        <v>0.22707836728675693</v>
      </c>
      <c r="H129" s="123"/>
    </row>
    <row r="130" spans="1:8" ht="15.75" x14ac:dyDescent="0.25">
      <c r="A130" s="130"/>
      <c r="B130" s="131">
        <f>DATE(2014,8,1)</f>
        <v>41852</v>
      </c>
      <c r="C130" s="204">
        <v>910042</v>
      </c>
      <c r="D130" s="204">
        <v>244997</v>
      </c>
      <c r="E130" s="204">
        <v>190431</v>
      </c>
      <c r="F130" s="132">
        <f t="shared" si="20"/>
        <v>0.28653948149198399</v>
      </c>
      <c r="G130" s="215">
        <f t="shared" si="21"/>
        <v>0.26921504721760092</v>
      </c>
      <c r="H130" s="123"/>
    </row>
    <row r="131" spans="1:8" ht="15.75" x14ac:dyDescent="0.25">
      <c r="A131" s="130"/>
      <c r="B131" s="131">
        <f>DATE(2014,9,1)</f>
        <v>41883</v>
      </c>
      <c r="C131" s="204">
        <v>859592</v>
      </c>
      <c r="D131" s="204">
        <v>142249.5</v>
      </c>
      <c r="E131" s="204">
        <v>231071.5</v>
      </c>
      <c r="F131" s="132">
        <f t="shared" si="20"/>
        <v>-0.38439184408289206</v>
      </c>
      <c r="G131" s="215">
        <f t="shared" si="21"/>
        <v>0.16548490446630496</v>
      </c>
      <c r="H131" s="123"/>
    </row>
    <row r="132" spans="1:8" ht="15.75" x14ac:dyDescent="0.25">
      <c r="A132" s="130"/>
      <c r="B132" s="131">
        <f>DATE(2014,10,1)</f>
        <v>41913</v>
      </c>
      <c r="C132" s="204">
        <v>979922</v>
      </c>
      <c r="D132" s="204">
        <v>203528</v>
      </c>
      <c r="E132" s="204">
        <v>208717.5</v>
      </c>
      <c r="F132" s="132">
        <f t="shared" si="20"/>
        <v>-2.4863751242708447E-2</v>
      </c>
      <c r="G132" s="215">
        <f t="shared" si="21"/>
        <v>0.20769816373139902</v>
      </c>
      <c r="H132" s="123"/>
    </row>
    <row r="133" spans="1:8" ht="15.75" x14ac:dyDescent="0.25">
      <c r="A133" s="130"/>
      <c r="B133" s="131">
        <f>DATE(2014,11,1)</f>
        <v>41944</v>
      </c>
      <c r="C133" s="204">
        <v>943248</v>
      </c>
      <c r="D133" s="204">
        <v>229154.5</v>
      </c>
      <c r="E133" s="204">
        <v>270575</v>
      </c>
      <c r="F133" s="132">
        <f t="shared" si="20"/>
        <v>-0.15308324863716161</v>
      </c>
      <c r="G133" s="215">
        <f t="shared" si="21"/>
        <v>0.24294194103777586</v>
      </c>
      <c r="H133" s="123"/>
    </row>
    <row r="134" spans="1:8" ht="15.75" x14ac:dyDescent="0.25">
      <c r="A134" s="130"/>
      <c r="B134" s="131">
        <f>DATE(2014,12,1)</f>
        <v>41974</v>
      </c>
      <c r="C134" s="204">
        <v>1004925</v>
      </c>
      <c r="D134" s="204">
        <v>204682</v>
      </c>
      <c r="E134" s="204">
        <v>271825.75</v>
      </c>
      <c r="F134" s="132">
        <f t="shared" si="20"/>
        <v>-0.24701026300856338</v>
      </c>
      <c r="G134" s="215">
        <f t="shared" si="21"/>
        <v>0.2036788815085703</v>
      </c>
      <c r="H134" s="123"/>
    </row>
    <row r="135" spans="1:8" ht="15.75" x14ac:dyDescent="0.25">
      <c r="A135" s="130"/>
      <c r="B135" s="131">
        <f>DATE(2015,1,1)</f>
        <v>42005</v>
      </c>
      <c r="C135" s="204">
        <v>863710</v>
      </c>
      <c r="D135" s="204">
        <v>205359</v>
      </c>
      <c r="E135" s="204">
        <v>242023</v>
      </c>
      <c r="F135" s="132">
        <f t="shared" si="20"/>
        <v>-0.15148973444672614</v>
      </c>
      <c r="G135" s="215">
        <f t="shared" si="21"/>
        <v>0.23776383276794294</v>
      </c>
      <c r="H135" s="123"/>
    </row>
    <row r="136" spans="1:8" ht="15.75" x14ac:dyDescent="0.25">
      <c r="A136" s="130"/>
      <c r="B136" s="131">
        <f>DATE(2015,2,1)</f>
        <v>42036</v>
      </c>
      <c r="C136" s="204">
        <v>824539</v>
      </c>
      <c r="D136" s="204">
        <v>174316.5</v>
      </c>
      <c r="E136" s="204">
        <v>197255</v>
      </c>
      <c r="F136" s="132">
        <f t="shared" si="20"/>
        <v>-0.11628856049276318</v>
      </c>
      <c r="G136" s="215">
        <f t="shared" si="21"/>
        <v>0.2114108610993537</v>
      </c>
      <c r="H136" s="123"/>
    </row>
    <row r="137" spans="1:8" ht="15.75" x14ac:dyDescent="0.25">
      <c r="A137" s="130"/>
      <c r="B137" s="131">
        <f>DATE(2015,3,1)</f>
        <v>42064</v>
      </c>
      <c r="C137" s="204">
        <v>1095099</v>
      </c>
      <c r="D137" s="204">
        <v>224042</v>
      </c>
      <c r="E137" s="204">
        <v>240152</v>
      </c>
      <c r="F137" s="132">
        <f t="shared" si="20"/>
        <v>-6.7082514407541885E-2</v>
      </c>
      <c r="G137" s="215">
        <f t="shared" si="21"/>
        <v>0.20458606938733392</v>
      </c>
      <c r="H137" s="123"/>
    </row>
    <row r="138" spans="1:8" ht="15.75" thickBot="1" x14ac:dyDescent="0.25">
      <c r="A138" s="133"/>
      <c r="B138" s="134"/>
      <c r="C138" s="204"/>
      <c r="D138" s="204"/>
      <c r="E138" s="204"/>
      <c r="F138" s="132"/>
      <c r="G138" s="215"/>
      <c r="H138" s="123"/>
    </row>
    <row r="139" spans="1:8" ht="17.25" thickTop="1" thickBot="1" x14ac:dyDescent="0.3">
      <c r="A139" s="144" t="s">
        <v>14</v>
      </c>
      <c r="B139" s="145"/>
      <c r="C139" s="207">
        <f>SUM(C129:C138)</f>
        <v>8335630</v>
      </c>
      <c r="D139" s="207">
        <f>SUM(D129:D138)</f>
        <v>1822379</v>
      </c>
      <c r="E139" s="207">
        <f>SUM(E129:E138)</f>
        <v>2055748.25</v>
      </c>
      <c r="F139" s="143">
        <f>(+D139-E139)/E139</f>
        <v>-0.11352034472119824</v>
      </c>
      <c r="G139" s="217">
        <f>D139/C139</f>
        <v>0.21862522688746983</v>
      </c>
      <c r="H139" s="123"/>
    </row>
    <row r="140" spans="1:8" ht="15.75" customHeight="1" thickTop="1" x14ac:dyDescent="0.25">
      <c r="A140" s="130"/>
      <c r="B140" s="134"/>
      <c r="C140" s="204"/>
      <c r="D140" s="204"/>
      <c r="E140" s="204"/>
      <c r="F140" s="132"/>
      <c r="G140" s="218"/>
      <c r="H140" s="123"/>
    </row>
    <row r="141" spans="1:8" ht="15.75" x14ac:dyDescent="0.25">
      <c r="A141" s="130" t="s">
        <v>40</v>
      </c>
      <c r="B141" s="131">
        <f>DATE(2014,7,1)</f>
        <v>41821</v>
      </c>
      <c r="C141" s="204">
        <v>12198935</v>
      </c>
      <c r="D141" s="204">
        <v>2630944</v>
      </c>
      <c r="E141" s="204">
        <v>2227589.5</v>
      </c>
      <c r="F141" s="132">
        <f t="shared" ref="F141:F149" si="22">(+D141-E141)/E141</f>
        <v>0.18107218587625773</v>
      </c>
      <c r="G141" s="215">
        <f t="shared" ref="G141:G149" si="23">D141/C141</f>
        <v>0.21566997446908276</v>
      </c>
      <c r="H141" s="123"/>
    </row>
    <row r="142" spans="1:8" ht="15.75" x14ac:dyDescent="0.25">
      <c r="A142" s="130"/>
      <c r="B142" s="131">
        <f>DATE(2014,8,1)</f>
        <v>41852</v>
      </c>
      <c r="C142" s="204">
        <v>13151605</v>
      </c>
      <c r="D142" s="204">
        <v>2671558</v>
      </c>
      <c r="E142" s="204">
        <v>2324049.9</v>
      </c>
      <c r="F142" s="132">
        <f t="shared" si="22"/>
        <v>0.1495269529281622</v>
      </c>
      <c r="G142" s="215">
        <f t="shared" si="23"/>
        <v>0.20313551083689024</v>
      </c>
      <c r="H142" s="123"/>
    </row>
    <row r="143" spans="1:8" ht="15.75" x14ac:dyDescent="0.25">
      <c r="A143" s="130"/>
      <c r="B143" s="131">
        <f>DATE(2014,9,1)</f>
        <v>41883</v>
      </c>
      <c r="C143" s="204">
        <v>12494088</v>
      </c>
      <c r="D143" s="204">
        <v>2695451</v>
      </c>
      <c r="E143" s="204">
        <v>1889804.5</v>
      </c>
      <c r="F143" s="132">
        <f t="shared" si="22"/>
        <v>0.42631208677934673</v>
      </c>
      <c r="G143" s="215">
        <f t="shared" si="23"/>
        <v>0.21573811549910646</v>
      </c>
      <c r="H143" s="123"/>
    </row>
    <row r="144" spans="1:8" ht="15.75" x14ac:dyDescent="0.25">
      <c r="A144" s="130"/>
      <c r="B144" s="131">
        <f>DATE(2014,10,1)</f>
        <v>41913</v>
      </c>
      <c r="C144" s="204">
        <v>15034530</v>
      </c>
      <c r="D144" s="204">
        <v>2840403</v>
      </c>
      <c r="E144" s="204">
        <v>1892475</v>
      </c>
      <c r="F144" s="132">
        <f t="shared" si="22"/>
        <v>0.50089327467998257</v>
      </c>
      <c r="G144" s="215">
        <f t="shared" si="23"/>
        <v>0.18892529397327351</v>
      </c>
      <c r="H144" s="123"/>
    </row>
    <row r="145" spans="1:8" ht="15.75" x14ac:dyDescent="0.25">
      <c r="A145" s="130"/>
      <c r="B145" s="131">
        <f>DATE(2014,11,1)</f>
        <v>41944</v>
      </c>
      <c r="C145" s="204">
        <v>12989637</v>
      </c>
      <c r="D145" s="204">
        <v>2781702</v>
      </c>
      <c r="E145" s="204">
        <v>2298940</v>
      </c>
      <c r="F145" s="132">
        <f t="shared" si="22"/>
        <v>0.20999330126058097</v>
      </c>
      <c r="G145" s="215">
        <f t="shared" si="23"/>
        <v>0.21414778565405637</v>
      </c>
      <c r="H145" s="123"/>
    </row>
    <row r="146" spans="1:8" ht="15.75" x14ac:dyDescent="0.25">
      <c r="A146" s="130"/>
      <c r="B146" s="131">
        <f>DATE(2014,12,1)</f>
        <v>41974</v>
      </c>
      <c r="C146" s="204">
        <v>13724186</v>
      </c>
      <c r="D146" s="204">
        <v>2990638.5</v>
      </c>
      <c r="E146" s="204">
        <v>2113873.5</v>
      </c>
      <c r="F146" s="132">
        <f t="shared" si="22"/>
        <v>0.41476701420401929</v>
      </c>
      <c r="G146" s="215">
        <f t="shared" si="23"/>
        <v>0.2179100822445863</v>
      </c>
      <c r="H146" s="123"/>
    </row>
    <row r="147" spans="1:8" ht="15.75" x14ac:dyDescent="0.25">
      <c r="A147" s="130"/>
      <c r="B147" s="131">
        <f>DATE(2015,1,1)</f>
        <v>42005</v>
      </c>
      <c r="C147" s="204">
        <v>12837916</v>
      </c>
      <c r="D147" s="204">
        <v>2785863.5</v>
      </c>
      <c r="E147" s="204">
        <v>1789378.5</v>
      </c>
      <c r="F147" s="132">
        <f t="shared" si="22"/>
        <v>0.55688888628090705</v>
      </c>
      <c r="G147" s="215">
        <f t="shared" si="23"/>
        <v>0.21700278300621378</v>
      </c>
      <c r="H147" s="123"/>
    </row>
    <row r="148" spans="1:8" ht="15.75" x14ac:dyDescent="0.25">
      <c r="A148" s="130"/>
      <c r="B148" s="131">
        <f>DATE(2015,2,1)</f>
        <v>42036</v>
      </c>
      <c r="C148" s="204">
        <v>12150305</v>
      </c>
      <c r="D148" s="204">
        <v>2936954.5</v>
      </c>
      <c r="E148" s="204">
        <v>2017621.75</v>
      </c>
      <c r="F148" s="132">
        <f t="shared" si="22"/>
        <v>0.45565168496027564</v>
      </c>
      <c r="G148" s="215">
        <f t="shared" si="23"/>
        <v>0.24171858237303509</v>
      </c>
      <c r="H148" s="123"/>
    </row>
    <row r="149" spans="1:8" ht="15.75" x14ac:dyDescent="0.25">
      <c r="A149" s="130"/>
      <c r="B149" s="131">
        <f>DATE(2015,3,1)</f>
        <v>42064</v>
      </c>
      <c r="C149" s="204">
        <v>14258245</v>
      </c>
      <c r="D149" s="204">
        <v>3076007.3</v>
      </c>
      <c r="E149" s="204">
        <v>2371964</v>
      </c>
      <c r="F149" s="132">
        <f t="shared" si="22"/>
        <v>0.29681871225701562</v>
      </c>
      <c r="G149" s="215">
        <f t="shared" si="23"/>
        <v>0.21573533769408507</v>
      </c>
      <c r="H149" s="123"/>
    </row>
    <row r="150" spans="1:8" ht="15.75" thickBot="1" x14ac:dyDescent="0.25">
      <c r="A150" s="133"/>
      <c r="B150" s="134"/>
      <c r="C150" s="204"/>
      <c r="D150" s="204"/>
      <c r="E150" s="204"/>
      <c r="F150" s="132"/>
      <c r="G150" s="215"/>
      <c r="H150" s="123"/>
    </row>
    <row r="151" spans="1:8" ht="17.25" thickTop="1" thickBot="1" x14ac:dyDescent="0.3">
      <c r="A151" s="141" t="s">
        <v>14</v>
      </c>
      <c r="B151" s="142"/>
      <c r="C151" s="206">
        <f>SUM(C141:C150)</f>
        <v>118839447</v>
      </c>
      <c r="D151" s="207">
        <f>SUM(D141:D150)</f>
        <v>25409521.800000001</v>
      </c>
      <c r="E151" s="206">
        <f>SUM(E141:E150)</f>
        <v>18925696.649999999</v>
      </c>
      <c r="F151" s="143">
        <f>(+D151-E151)/E151</f>
        <v>0.34259373749393807</v>
      </c>
      <c r="G151" s="217">
        <f>D151/C151</f>
        <v>0.21381386771347061</v>
      </c>
      <c r="H151" s="123"/>
    </row>
    <row r="152" spans="1:8" ht="15.75" customHeight="1" thickTop="1" x14ac:dyDescent="0.25">
      <c r="A152" s="130"/>
      <c r="B152" s="134"/>
      <c r="C152" s="204"/>
      <c r="D152" s="204"/>
      <c r="E152" s="204"/>
      <c r="F152" s="132"/>
      <c r="G152" s="218"/>
      <c r="H152" s="123"/>
    </row>
    <row r="153" spans="1:8" ht="15.75" x14ac:dyDescent="0.25">
      <c r="A153" s="130" t="s">
        <v>64</v>
      </c>
      <c r="B153" s="131">
        <f>DATE(2014,7,1)</f>
        <v>41821</v>
      </c>
      <c r="C153" s="204">
        <v>981132</v>
      </c>
      <c r="D153" s="204">
        <v>209226.5</v>
      </c>
      <c r="E153" s="204">
        <v>163354</v>
      </c>
      <c r="F153" s="132">
        <f t="shared" ref="F153:F161" si="24">(+D153-E153)/E153</f>
        <v>0.28081650893152293</v>
      </c>
      <c r="G153" s="215">
        <f t="shared" ref="G153:G161" si="25">D153/C153</f>
        <v>0.21325010294231561</v>
      </c>
      <c r="H153" s="123"/>
    </row>
    <row r="154" spans="1:8" ht="15.75" x14ac:dyDescent="0.25">
      <c r="A154" s="130"/>
      <c r="B154" s="131">
        <f>DATE(2014,8,1)</f>
        <v>41852</v>
      </c>
      <c r="C154" s="204">
        <v>1032541</v>
      </c>
      <c r="D154" s="204">
        <v>218501</v>
      </c>
      <c r="E154" s="204">
        <v>222733.5</v>
      </c>
      <c r="F154" s="132">
        <f t="shared" si="24"/>
        <v>-1.9002529929265242E-2</v>
      </c>
      <c r="G154" s="215">
        <f t="shared" si="25"/>
        <v>0.21161484144455281</v>
      </c>
      <c r="H154" s="123"/>
    </row>
    <row r="155" spans="1:8" ht="15.75" x14ac:dyDescent="0.25">
      <c r="A155" s="130"/>
      <c r="B155" s="131">
        <f>DATE(2014,9,1)</f>
        <v>41883</v>
      </c>
      <c r="C155" s="204">
        <v>961308</v>
      </c>
      <c r="D155" s="204">
        <v>191716</v>
      </c>
      <c r="E155" s="204">
        <v>198230</v>
      </c>
      <c r="F155" s="132">
        <f t="shared" si="24"/>
        <v>-3.2860818241436718E-2</v>
      </c>
      <c r="G155" s="215">
        <f t="shared" si="25"/>
        <v>0.19943243996721133</v>
      </c>
      <c r="H155" s="123"/>
    </row>
    <row r="156" spans="1:8" ht="15.75" x14ac:dyDescent="0.25">
      <c r="A156" s="130"/>
      <c r="B156" s="131">
        <f>DATE(2014,10,1)</f>
        <v>41913</v>
      </c>
      <c r="C156" s="204">
        <v>961001</v>
      </c>
      <c r="D156" s="204">
        <v>199376.5</v>
      </c>
      <c r="E156" s="204">
        <v>206944</v>
      </c>
      <c r="F156" s="132">
        <f t="shared" si="24"/>
        <v>-3.6567863769908768E-2</v>
      </c>
      <c r="G156" s="215">
        <f t="shared" si="25"/>
        <v>0.20746752604836</v>
      </c>
      <c r="H156" s="123"/>
    </row>
    <row r="157" spans="1:8" ht="15.75" x14ac:dyDescent="0.25">
      <c r="A157" s="130"/>
      <c r="B157" s="131">
        <f>DATE(2014,11,1)</f>
        <v>41944</v>
      </c>
      <c r="C157" s="204">
        <v>1045053</v>
      </c>
      <c r="D157" s="204">
        <v>212572.5</v>
      </c>
      <c r="E157" s="204">
        <v>185684.5</v>
      </c>
      <c r="F157" s="132">
        <f t="shared" si="24"/>
        <v>0.14480476291774488</v>
      </c>
      <c r="G157" s="215">
        <f t="shared" si="25"/>
        <v>0.20340834388303752</v>
      </c>
      <c r="H157" s="123"/>
    </row>
    <row r="158" spans="1:8" ht="15.75" x14ac:dyDescent="0.25">
      <c r="A158" s="130"/>
      <c r="B158" s="131">
        <f>DATE(2014,12,1)</f>
        <v>41974</v>
      </c>
      <c r="C158" s="204">
        <v>1119280</v>
      </c>
      <c r="D158" s="204">
        <v>242239</v>
      </c>
      <c r="E158" s="204">
        <v>155536</v>
      </c>
      <c r="F158" s="132">
        <f t="shared" si="24"/>
        <v>0.55744650756095049</v>
      </c>
      <c r="G158" s="215">
        <f t="shared" si="25"/>
        <v>0.21642395111142879</v>
      </c>
      <c r="H158" s="123"/>
    </row>
    <row r="159" spans="1:8" ht="15.75" x14ac:dyDescent="0.25">
      <c r="A159" s="130"/>
      <c r="B159" s="131">
        <f>DATE(2015,1,1)</f>
        <v>42005</v>
      </c>
      <c r="C159" s="204">
        <v>1002373</v>
      </c>
      <c r="D159" s="204">
        <v>226033.5</v>
      </c>
      <c r="E159" s="204">
        <v>195324</v>
      </c>
      <c r="F159" s="132">
        <f t="shared" si="24"/>
        <v>0.15722338268722738</v>
      </c>
      <c r="G159" s="215">
        <f t="shared" si="25"/>
        <v>0.22549839231503641</v>
      </c>
      <c r="H159" s="123"/>
    </row>
    <row r="160" spans="1:8" ht="15.75" x14ac:dyDescent="0.25">
      <c r="A160" s="130"/>
      <c r="B160" s="131">
        <f>DATE(2015,2,1)</f>
        <v>42036</v>
      </c>
      <c r="C160" s="204">
        <v>999615</v>
      </c>
      <c r="D160" s="204">
        <v>202023.5</v>
      </c>
      <c r="E160" s="204">
        <v>225331</v>
      </c>
      <c r="F160" s="132">
        <f t="shared" si="24"/>
        <v>-0.10343672197789031</v>
      </c>
      <c r="G160" s="215">
        <f t="shared" si="25"/>
        <v>0.20210130900396653</v>
      </c>
      <c r="H160" s="123"/>
    </row>
    <row r="161" spans="1:18" ht="15.75" x14ac:dyDescent="0.25">
      <c r="A161" s="130"/>
      <c r="B161" s="131">
        <f>DATE(2015,3,1)</f>
        <v>42064</v>
      </c>
      <c r="C161" s="204">
        <v>1162945</v>
      </c>
      <c r="D161" s="204">
        <v>265796.5</v>
      </c>
      <c r="E161" s="204">
        <v>279957.5</v>
      </c>
      <c r="F161" s="132">
        <f t="shared" si="24"/>
        <v>-5.058267772786941E-2</v>
      </c>
      <c r="G161" s="215">
        <f t="shared" si="25"/>
        <v>0.22855466079651229</v>
      </c>
      <c r="H161" s="123"/>
    </row>
    <row r="162" spans="1:18" ht="15.75" thickBot="1" x14ac:dyDescent="0.25">
      <c r="A162" s="133"/>
      <c r="B162" s="134"/>
      <c r="C162" s="204"/>
      <c r="D162" s="204"/>
      <c r="E162" s="204"/>
      <c r="F162" s="132"/>
      <c r="G162" s="215"/>
      <c r="H162" s="123"/>
    </row>
    <row r="163" spans="1:18" ht="17.25" thickTop="1" thickBot="1" x14ac:dyDescent="0.3">
      <c r="A163" s="135" t="s">
        <v>14</v>
      </c>
      <c r="B163" s="136"/>
      <c r="C163" s="201">
        <f>SUM(C153:C162)</f>
        <v>9265248</v>
      </c>
      <c r="D163" s="207">
        <f>SUM(D153:D162)</f>
        <v>1967485</v>
      </c>
      <c r="E163" s="207">
        <f>SUM(E153:E162)</f>
        <v>1833094.5</v>
      </c>
      <c r="F163" s="143">
        <f>(+D163-E163)/E163</f>
        <v>7.331345983526763E-2</v>
      </c>
      <c r="G163" s="217">
        <f>D163/C163</f>
        <v>0.21235103474834133</v>
      </c>
      <c r="H163" s="123"/>
    </row>
    <row r="164" spans="1:18" ht="16.5" thickTop="1" thickBot="1" x14ac:dyDescent="0.25">
      <c r="A164" s="146"/>
      <c r="B164" s="139"/>
      <c r="C164" s="205"/>
      <c r="D164" s="205"/>
      <c r="E164" s="205"/>
      <c r="F164" s="140"/>
      <c r="G164" s="216"/>
      <c r="H164" s="123"/>
    </row>
    <row r="165" spans="1:18" ht="17.25" thickTop="1" thickBot="1" x14ac:dyDescent="0.3">
      <c r="A165" s="147" t="s">
        <v>41</v>
      </c>
      <c r="B165" s="121"/>
      <c r="C165" s="201">
        <f>C163+C151+C115+C91+C67+C43+C19+C55+C139+C31+C103+C127+C79</f>
        <v>773521491.08000004</v>
      </c>
      <c r="D165" s="201">
        <f>D163+D151+D115+D91+D67+D43+D19+D55+D139+D31+D103+D127+D79</f>
        <v>161632869.13000003</v>
      </c>
      <c r="E165" s="201">
        <f>E163+E151+E115+E91+E67+E43+E19+E55+E139+E31+E103+E127+E79</f>
        <v>154903980.56</v>
      </c>
      <c r="F165" s="137">
        <f>(+D165-E165)/E165</f>
        <v>4.343909398373192E-2</v>
      </c>
      <c r="G165" s="212">
        <f>D165/C165</f>
        <v>0.20895717959216137</v>
      </c>
      <c r="H165" s="123"/>
    </row>
    <row r="166" spans="1:18" ht="17.25" thickTop="1" thickBot="1" x14ac:dyDescent="0.3">
      <c r="A166" s="147"/>
      <c r="B166" s="121"/>
      <c r="C166" s="201"/>
      <c r="D166" s="201"/>
      <c r="E166" s="201"/>
      <c r="F166" s="137"/>
      <c r="G166" s="212"/>
      <c r="H166" s="123"/>
    </row>
    <row r="167" spans="1:18" ht="17.25" thickTop="1" thickBot="1" x14ac:dyDescent="0.3">
      <c r="A167" s="267" t="s">
        <v>42</v>
      </c>
      <c r="B167" s="268"/>
      <c r="C167" s="206">
        <f>+C17+C29+C41+C53+C65+C77+C89+C101+C113+C125+C137+C149+C161</f>
        <v>98018463.75</v>
      </c>
      <c r="D167" s="206">
        <f>+D17+D29+D41+D53+D65+D77+D89+D101+D113+D125+D137+D149+D161</f>
        <v>20820743</v>
      </c>
      <c r="E167" s="206">
        <f>+E17+E29+E41+E53+E65+E77+E89+E101+E113+E125+E137+E149+E161</f>
        <v>19157357.300000001</v>
      </c>
      <c r="F167" s="143">
        <f>(+D167-E167)/E167</f>
        <v>8.6827513521397823E-2</v>
      </c>
      <c r="G167" s="217">
        <f>D167/C167</f>
        <v>0.21241654075607772</v>
      </c>
      <c r="H167" s="123"/>
    </row>
    <row r="168" spans="1:18" ht="16.5" thickTop="1" x14ac:dyDescent="0.25">
      <c r="A168" s="256"/>
      <c r="B168" s="258"/>
      <c r="C168" s="259"/>
      <c r="D168" s="259"/>
      <c r="E168" s="259"/>
      <c r="F168" s="260"/>
      <c r="G168" s="257"/>
      <c r="H168" s="257"/>
    </row>
    <row r="169" spans="1:18" s="3" customFormat="1" ht="15.75" x14ac:dyDescent="0.25">
      <c r="A169" s="256" t="s">
        <v>70</v>
      </c>
      <c r="B169" s="258"/>
      <c r="C169" s="259"/>
      <c r="D169" s="259"/>
      <c r="E169" s="259"/>
      <c r="F169" s="260"/>
      <c r="G169" s="257"/>
      <c r="H169" s="257"/>
      <c r="I169" s="261"/>
      <c r="J169" s="261"/>
      <c r="K169" s="262"/>
      <c r="L169" s="262"/>
      <c r="M169" s="261"/>
      <c r="R169" s="2"/>
    </row>
    <row r="170" spans="1:18" ht="18.75" x14ac:dyDescent="0.3">
      <c r="A170" s="265" t="s">
        <v>43</v>
      </c>
      <c r="B170" s="117"/>
      <c r="C170" s="208"/>
      <c r="D170" s="208"/>
      <c r="E170" s="208"/>
      <c r="F170" s="148"/>
      <c r="G170" s="220"/>
    </row>
    <row r="171" spans="1:18" ht="15.75" x14ac:dyDescent="0.25">
      <c r="A171" s="72"/>
    </row>
  </sheetData>
  <phoneticPr fontId="0" type="noConversion"/>
  <printOptions horizontalCentered="1"/>
  <pageMargins left="0.7" right="0.25" top="0.31944444444444398" bottom="0.2" header="0.5" footer="0.5"/>
  <pageSetup scale="64" orientation="landscape" r:id="rId1"/>
  <headerFooter alignWithMargins="0"/>
  <rowBreaks count="3" manualBreakCount="3">
    <brk id="55" max="7" man="1"/>
    <brk id="103" max="7" man="1"/>
    <brk id="15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173"/>
  <sheetViews>
    <sheetView showOutlineSymbols="0" zoomScaleNormal="100" workbookViewId="0">
      <selection activeCell="A4" sqref="A4"/>
    </sheetView>
  </sheetViews>
  <sheetFormatPr defaultColWidth="9.6640625" defaultRowHeight="15" x14ac:dyDescent="0.2"/>
  <cols>
    <col min="1" max="1" width="27.6640625" style="152" customWidth="1"/>
    <col min="2" max="2" width="9.6640625" style="152" customWidth="1"/>
    <col min="3" max="3" width="18.33203125" style="233" customWidth="1"/>
    <col min="4" max="4" width="16.441406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40625" style="152" customWidth="1"/>
    <col min="10" max="16384" width="9.6640625" style="152"/>
  </cols>
  <sheetData>
    <row r="1" spans="1:9" ht="18" x14ac:dyDescent="0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 x14ac:dyDescent="0.3">
      <c r="A2" s="153" t="s">
        <v>44</v>
      </c>
      <c r="B2" s="150"/>
      <c r="C2" s="222"/>
      <c r="D2" s="222"/>
      <c r="E2" s="222"/>
      <c r="F2" s="150"/>
      <c r="G2" s="234"/>
      <c r="H2" s="234"/>
      <c r="I2" s="151"/>
    </row>
    <row r="3" spans="1:9" ht="18" x14ac:dyDescent="0.25">
      <c r="A3" s="149" t="s">
        <v>45</v>
      </c>
      <c r="B3" s="150"/>
      <c r="C3" s="222"/>
      <c r="D3" s="222"/>
      <c r="E3" s="222"/>
      <c r="F3" s="150"/>
      <c r="G3" s="234"/>
      <c r="H3" s="234"/>
      <c r="I3" s="151"/>
    </row>
    <row r="4" spans="1:9" ht="18" x14ac:dyDescent="0.25">
      <c r="A4" s="288" t="s">
        <v>76</v>
      </c>
      <c r="B4" s="150"/>
      <c r="C4" s="222"/>
      <c r="D4" s="222"/>
      <c r="E4" s="222"/>
      <c r="F4" s="150"/>
      <c r="G4" s="234"/>
      <c r="H4" s="234"/>
      <c r="I4" s="151"/>
    </row>
    <row r="5" spans="1:9" x14ac:dyDescent="0.2">
      <c r="A5" s="289" t="s">
        <v>72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 x14ac:dyDescent="0.3">
      <c r="A6" s="150"/>
      <c r="B6" s="150"/>
      <c r="C6" s="222"/>
      <c r="D6" s="222"/>
      <c r="E6" s="222"/>
      <c r="F6" s="150"/>
      <c r="G6" s="235" t="s">
        <v>46</v>
      </c>
      <c r="H6" s="235"/>
      <c r="I6" s="151"/>
    </row>
    <row r="7" spans="1:9" ht="16.5" thickTop="1" x14ac:dyDescent="0.25">
      <c r="A7" s="154"/>
      <c r="B7" s="155" t="s">
        <v>2</v>
      </c>
      <c r="C7" s="223" t="s">
        <v>47</v>
      </c>
      <c r="D7" s="223" t="s">
        <v>33</v>
      </c>
      <c r="E7" s="223" t="s">
        <v>3</v>
      </c>
      <c r="F7" s="156"/>
      <c r="G7" s="236" t="s">
        <v>34</v>
      </c>
      <c r="H7" s="253" t="s">
        <v>34</v>
      </c>
      <c r="I7" s="157"/>
    </row>
    <row r="8" spans="1:9" ht="16.5" thickBot="1" x14ac:dyDescent="0.3">
      <c r="A8" s="158" t="s">
        <v>5</v>
      </c>
      <c r="B8" s="159" t="s">
        <v>6</v>
      </c>
      <c r="C8" s="224" t="s">
        <v>48</v>
      </c>
      <c r="D8" s="224" t="s">
        <v>49</v>
      </c>
      <c r="E8" s="224" t="s">
        <v>49</v>
      </c>
      <c r="F8" s="160" t="s">
        <v>8</v>
      </c>
      <c r="G8" s="238" t="s">
        <v>37</v>
      </c>
      <c r="H8" s="254" t="s">
        <v>50</v>
      </c>
      <c r="I8" s="157"/>
    </row>
    <row r="9" spans="1:9" ht="15.75" customHeight="1" thickTop="1" x14ac:dyDescent="0.25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 x14ac:dyDescent="0.25">
      <c r="A10" s="164" t="s">
        <v>38</v>
      </c>
      <c r="B10" s="165">
        <f>DATE(14,7,1)</f>
        <v>5296</v>
      </c>
      <c r="C10" s="226">
        <v>104944664.54000001</v>
      </c>
      <c r="D10" s="226">
        <v>10257059.810000001</v>
      </c>
      <c r="E10" s="226">
        <v>11572743.439999999</v>
      </c>
      <c r="F10" s="166">
        <f t="shared" ref="F10:F18" si="0">(+D10-E10)/E10</f>
        <v>-0.1136881359913738</v>
      </c>
      <c r="G10" s="241">
        <f t="shared" ref="G10:G18" si="1">D10/C10</f>
        <v>9.7737792149409253E-2</v>
      </c>
      <c r="H10" s="242">
        <f t="shared" ref="H10:H18" si="2">1-G10</f>
        <v>0.90226220785059075</v>
      </c>
      <c r="I10" s="157"/>
    </row>
    <row r="11" spans="1:9" ht="15.75" x14ac:dyDescent="0.25">
      <c r="A11" s="164"/>
      <c r="B11" s="165">
        <f>DATE(14,8,1)</f>
        <v>5327</v>
      </c>
      <c r="C11" s="226">
        <v>109819409.27</v>
      </c>
      <c r="D11" s="226">
        <v>11078022.279999999</v>
      </c>
      <c r="E11" s="226">
        <v>11606101.869999999</v>
      </c>
      <c r="F11" s="166">
        <f t="shared" si="0"/>
        <v>-4.5500168438552563E-2</v>
      </c>
      <c r="G11" s="241">
        <f t="shared" si="1"/>
        <v>0.10087490320371124</v>
      </c>
      <c r="H11" s="242">
        <f t="shared" si="2"/>
        <v>0.89912509679628871</v>
      </c>
      <c r="I11" s="157"/>
    </row>
    <row r="12" spans="1:9" ht="15.75" x14ac:dyDescent="0.25">
      <c r="A12" s="164"/>
      <c r="B12" s="165">
        <f>DATE(14,9,1)</f>
        <v>5358</v>
      </c>
      <c r="C12" s="226">
        <v>101276217.73999999</v>
      </c>
      <c r="D12" s="226">
        <v>9537974.0700000003</v>
      </c>
      <c r="E12" s="226">
        <v>10314286.07</v>
      </c>
      <c r="F12" s="166">
        <f t="shared" si="0"/>
        <v>-7.5265703775462572E-2</v>
      </c>
      <c r="G12" s="241">
        <f t="shared" si="1"/>
        <v>9.417782657016513E-2</v>
      </c>
      <c r="H12" s="242">
        <f t="shared" si="2"/>
        <v>0.90582217342983484</v>
      </c>
      <c r="I12" s="157"/>
    </row>
    <row r="13" spans="1:9" ht="15.75" x14ac:dyDescent="0.25">
      <c r="A13" s="164"/>
      <c r="B13" s="165">
        <f>DATE(14,10,1)</f>
        <v>5388</v>
      </c>
      <c r="C13" s="226">
        <v>109155119.66</v>
      </c>
      <c r="D13" s="226">
        <v>10436933.779999999</v>
      </c>
      <c r="E13" s="226">
        <v>10199198.41</v>
      </c>
      <c r="F13" s="166">
        <f t="shared" si="0"/>
        <v>2.3309221023380323E-2</v>
      </c>
      <c r="G13" s="241">
        <f t="shared" si="1"/>
        <v>9.5615613930975549E-2</v>
      </c>
      <c r="H13" s="242">
        <f t="shared" si="2"/>
        <v>0.90438438606902449</v>
      </c>
      <c r="I13" s="157"/>
    </row>
    <row r="14" spans="1:9" ht="15.75" x14ac:dyDescent="0.25">
      <c r="A14" s="164"/>
      <c r="B14" s="165">
        <f>DATE(14,11,1)</f>
        <v>5419</v>
      </c>
      <c r="C14" s="226">
        <v>111943385.04000001</v>
      </c>
      <c r="D14" s="226">
        <v>10672606.66</v>
      </c>
      <c r="E14" s="226">
        <v>10668215.68</v>
      </c>
      <c r="F14" s="166">
        <f t="shared" si="0"/>
        <v>4.1159460323176059E-4</v>
      </c>
      <c r="G14" s="241">
        <f t="shared" si="1"/>
        <v>9.5339324035863551E-2</v>
      </c>
      <c r="H14" s="242">
        <f t="shared" si="2"/>
        <v>0.90466067596413646</v>
      </c>
      <c r="I14" s="157"/>
    </row>
    <row r="15" spans="1:9" ht="15.75" x14ac:dyDescent="0.25">
      <c r="A15" s="164"/>
      <c r="B15" s="165">
        <f>DATE(14,12,1)</f>
        <v>5449</v>
      </c>
      <c r="C15" s="226">
        <v>111463611.76000001</v>
      </c>
      <c r="D15" s="226">
        <v>10862879.380000001</v>
      </c>
      <c r="E15" s="226">
        <v>10081925.41</v>
      </c>
      <c r="F15" s="166">
        <f t="shared" si="0"/>
        <v>7.7460796250822556E-2</v>
      </c>
      <c r="G15" s="241">
        <f t="shared" si="1"/>
        <v>9.7456732367417059E-2</v>
      </c>
      <c r="H15" s="242">
        <f t="shared" si="2"/>
        <v>0.90254326763258297</v>
      </c>
      <c r="I15" s="157"/>
    </row>
    <row r="16" spans="1:9" ht="15.75" x14ac:dyDescent="0.25">
      <c r="A16" s="164"/>
      <c r="B16" s="165">
        <f>DATE(15,1,1)</f>
        <v>5480</v>
      </c>
      <c r="C16" s="226">
        <v>113548911.63</v>
      </c>
      <c r="D16" s="226">
        <v>10668353.859999999</v>
      </c>
      <c r="E16" s="226">
        <v>10226082.27</v>
      </c>
      <c r="F16" s="166">
        <f t="shared" si="0"/>
        <v>4.3249367482352544E-2</v>
      </c>
      <c r="G16" s="241">
        <f t="shared" si="1"/>
        <v>9.3953818727588623E-2</v>
      </c>
      <c r="H16" s="242">
        <f t="shared" si="2"/>
        <v>0.90604618127241143</v>
      </c>
      <c r="I16" s="157"/>
    </row>
    <row r="17" spans="1:9" ht="15.75" x14ac:dyDescent="0.25">
      <c r="A17" s="164"/>
      <c r="B17" s="165">
        <f>DATE(15,2,1)</f>
        <v>5511</v>
      </c>
      <c r="C17" s="226">
        <v>109766288.26000001</v>
      </c>
      <c r="D17" s="226">
        <v>10507428.310000001</v>
      </c>
      <c r="E17" s="226">
        <v>10852711.039999999</v>
      </c>
      <c r="F17" s="166">
        <f t="shared" si="0"/>
        <v>-3.1815343532817272E-2</v>
      </c>
      <c r="G17" s="241">
        <f t="shared" si="1"/>
        <v>9.5725458850456718E-2</v>
      </c>
      <c r="H17" s="242">
        <f t="shared" si="2"/>
        <v>0.90427454114954331</v>
      </c>
      <c r="I17" s="157"/>
    </row>
    <row r="18" spans="1:9" ht="15.75" x14ac:dyDescent="0.25">
      <c r="A18" s="164"/>
      <c r="B18" s="165">
        <f>DATE(15,3,1)</f>
        <v>5539</v>
      </c>
      <c r="C18" s="226">
        <v>121855195.17</v>
      </c>
      <c r="D18" s="226">
        <v>11724892.220000001</v>
      </c>
      <c r="E18" s="226">
        <v>11881774.76</v>
      </c>
      <c r="F18" s="166">
        <f t="shared" si="0"/>
        <v>-1.3203628512479823E-2</v>
      </c>
      <c r="G18" s="241">
        <f t="shared" si="1"/>
        <v>9.6219879699364658E-2</v>
      </c>
      <c r="H18" s="242">
        <f t="shared" si="2"/>
        <v>0.90378012030063537</v>
      </c>
      <c r="I18" s="157"/>
    </row>
    <row r="19" spans="1:9" ht="15.75" thickBot="1" x14ac:dyDescent="0.25">
      <c r="A19" s="167"/>
      <c r="B19" s="168"/>
      <c r="C19" s="226"/>
      <c r="D19" s="226"/>
      <c r="E19" s="226"/>
      <c r="F19" s="166"/>
      <c r="G19" s="241"/>
      <c r="H19" s="242"/>
      <c r="I19" s="157"/>
    </row>
    <row r="20" spans="1:9" ht="17.25" thickTop="1" thickBot="1" x14ac:dyDescent="0.3">
      <c r="A20" s="169" t="s">
        <v>14</v>
      </c>
      <c r="B20" s="155"/>
      <c r="C20" s="223">
        <f>SUM(C10:C19)</f>
        <v>993772803.06999993</v>
      </c>
      <c r="D20" s="223">
        <f>SUM(D10:D19)</f>
        <v>95746150.370000005</v>
      </c>
      <c r="E20" s="223">
        <f>SUM(E10:E19)</f>
        <v>97403038.950000003</v>
      </c>
      <c r="F20" s="170">
        <f>(+D20-E20)/E20</f>
        <v>-1.7010645641667613E-2</v>
      </c>
      <c r="G20" s="236">
        <f>D20/C20</f>
        <v>9.6346116611581073E-2</v>
      </c>
      <c r="H20" s="237">
        <f>1-G20</f>
        <v>0.9036538833884189</v>
      </c>
      <c r="I20" s="157"/>
    </row>
    <row r="21" spans="1:9" ht="15.75" thickTop="1" x14ac:dyDescent="0.2">
      <c r="A21" s="171"/>
      <c r="B21" s="172"/>
      <c r="C21" s="227"/>
      <c r="D21" s="227"/>
      <c r="E21" s="227"/>
      <c r="F21" s="173"/>
      <c r="G21" s="243"/>
      <c r="H21" s="244"/>
      <c r="I21" s="157"/>
    </row>
    <row r="22" spans="1:9" ht="15.75" x14ac:dyDescent="0.25">
      <c r="A22" s="19" t="s">
        <v>51</v>
      </c>
      <c r="B22" s="165">
        <f>DATE(14,7,1)</f>
        <v>5296</v>
      </c>
      <c r="C22" s="226">
        <v>72786711.959999993</v>
      </c>
      <c r="D22" s="226">
        <v>6282867.1100000003</v>
      </c>
      <c r="E22" s="226">
        <v>5989524.29</v>
      </c>
      <c r="F22" s="166">
        <f t="shared" ref="F22:F30" si="3">(+D22-E22)/E22</f>
        <v>4.8975979693372328E-2</v>
      </c>
      <c r="G22" s="241">
        <f t="shared" ref="G22:G30" si="4">D22/C22</f>
        <v>8.6318875256417071E-2</v>
      </c>
      <c r="H22" s="242">
        <f t="shared" ref="H22:H30" si="5">1-G22</f>
        <v>0.91368112474358298</v>
      </c>
      <c r="I22" s="157"/>
    </row>
    <row r="23" spans="1:9" ht="15.75" x14ac:dyDescent="0.25">
      <c r="A23" s="19"/>
      <c r="B23" s="165">
        <f>DATE(14,8,1)</f>
        <v>5327</v>
      </c>
      <c r="C23" s="226">
        <v>75955587.430000007</v>
      </c>
      <c r="D23" s="226">
        <v>6628156.8700000001</v>
      </c>
      <c r="E23" s="226">
        <v>6567672.5800000001</v>
      </c>
      <c r="F23" s="166">
        <f t="shared" si="3"/>
        <v>9.2093948447107329E-3</v>
      </c>
      <c r="G23" s="241">
        <f t="shared" si="4"/>
        <v>8.7263585132673099E-2</v>
      </c>
      <c r="H23" s="242">
        <f t="shared" si="5"/>
        <v>0.91273641486732693</v>
      </c>
      <c r="I23" s="157"/>
    </row>
    <row r="24" spans="1:9" ht="15.75" x14ac:dyDescent="0.25">
      <c r="A24" s="19"/>
      <c r="B24" s="165">
        <f>DATE(14,9,1)</f>
        <v>5358</v>
      </c>
      <c r="C24" s="226">
        <v>66867844.990000002</v>
      </c>
      <c r="D24" s="226">
        <v>6002003.7300000004</v>
      </c>
      <c r="E24" s="226">
        <v>6163226.7400000002</v>
      </c>
      <c r="F24" s="166">
        <f t="shared" si="3"/>
        <v>-2.6158863984939124E-2</v>
      </c>
      <c r="G24" s="241">
        <f t="shared" si="4"/>
        <v>8.9759191894064963E-2</v>
      </c>
      <c r="H24" s="242">
        <f t="shared" si="5"/>
        <v>0.910240808105935</v>
      </c>
      <c r="I24" s="157"/>
    </row>
    <row r="25" spans="1:9" ht="15.75" x14ac:dyDescent="0.25">
      <c r="A25" s="19"/>
      <c r="B25" s="165">
        <f>DATE(14,10,1)</f>
        <v>5388</v>
      </c>
      <c r="C25" s="226">
        <v>68787776.189999998</v>
      </c>
      <c r="D25" s="226">
        <v>5911302.2199999997</v>
      </c>
      <c r="E25" s="226">
        <v>5687342.6600000001</v>
      </c>
      <c r="F25" s="166">
        <f t="shared" si="3"/>
        <v>3.9378594431305036E-2</v>
      </c>
      <c r="G25" s="241">
        <f t="shared" si="4"/>
        <v>8.5935358684547117E-2</v>
      </c>
      <c r="H25" s="242">
        <f t="shared" si="5"/>
        <v>0.91406464131545284</v>
      </c>
      <c r="I25" s="157"/>
    </row>
    <row r="26" spans="1:9" ht="15.75" x14ac:dyDescent="0.25">
      <c r="A26" s="19"/>
      <c r="B26" s="165">
        <f>DATE(14,11,1)</f>
        <v>5419</v>
      </c>
      <c r="C26" s="226">
        <v>65151385.420000002</v>
      </c>
      <c r="D26" s="226">
        <v>5713594.4500000002</v>
      </c>
      <c r="E26" s="226">
        <v>6197477.6200000001</v>
      </c>
      <c r="F26" s="166">
        <f t="shared" si="3"/>
        <v>-7.8077437252609225E-2</v>
      </c>
      <c r="G26" s="241">
        <f t="shared" si="4"/>
        <v>8.769720571814664E-2</v>
      </c>
      <c r="H26" s="242">
        <f t="shared" si="5"/>
        <v>0.91230279428185335</v>
      </c>
      <c r="I26" s="157"/>
    </row>
    <row r="27" spans="1:9" ht="15.75" x14ac:dyDescent="0.25">
      <c r="A27" s="19"/>
      <c r="B27" s="165">
        <f>DATE(14,12,1)</f>
        <v>5449</v>
      </c>
      <c r="C27" s="226">
        <v>65354460.719999999</v>
      </c>
      <c r="D27" s="226">
        <v>5842855.71</v>
      </c>
      <c r="E27" s="226">
        <v>5485192.6699999999</v>
      </c>
      <c r="F27" s="166">
        <f t="shared" si="3"/>
        <v>6.5205191780437502E-2</v>
      </c>
      <c r="G27" s="241">
        <f t="shared" si="4"/>
        <v>8.9402554096999057E-2</v>
      </c>
      <c r="H27" s="242">
        <f t="shared" si="5"/>
        <v>0.91059744590300096</v>
      </c>
      <c r="I27" s="157"/>
    </row>
    <row r="28" spans="1:9" ht="15.75" x14ac:dyDescent="0.25">
      <c r="A28" s="19"/>
      <c r="B28" s="165">
        <f>DATE(15,1,1)</f>
        <v>5480</v>
      </c>
      <c r="C28" s="226">
        <v>70284718.450000003</v>
      </c>
      <c r="D28" s="226">
        <v>6478436.21</v>
      </c>
      <c r="E28" s="226">
        <v>5543860.3700000001</v>
      </c>
      <c r="F28" s="166">
        <f t="shared" si="3"/>
        <v>0.16857853149717764</v>
      </c>
      <c r="G28" s="241">
        <f t="shared" si="4"/>
        <v>9.2174178866615344E-2</v>
      </c>
      <c r="H28" s="242">
        <f t="shared" si="5"/>
        <v>0.90782582113338461</v>
      </c>
      <c r="I28" s="157"/>
    </row>
    <row r="29" spans="1:9" ht="15.75" x14ac:dyDescent="0.25">
      <c r="A29" s="19"/>
      <c r="B29" s="165">
        <f>DATE(15,2,1)</f>
        <v>5511</v>
      </c>
      <c r="C29" s="226">
        <v>64137424.93</v>
      </c>
      <c r="D29" s="226">
        <v>5974487.4199999999</v>
      </c>
      <c r="E29" s="226">
        <v>5915291.2300000004</v>
      </c>
      <c r="F29" s="166">
        <f t="shared" si="3"/>
        <v>1.0007316241638279E-2</v>
      </c>
      <c r="G29" s="241">
        <f t="shared" si="4"/>
        <v>9.3151345357575452E-2</v>
      </c>
      <c r="H29" s="242">
        <f t="shared" si="5"/>
        <v>0.90684865464242459</v>
      </c>
      <c r="I29" s="157"/>
    </row>
    <row r="30" spans="1:9" ht="15.75" x14ac:dyDescent="0.25">
      <c r="A30" s="19"/>
      <c r="B30" s="165">
        <f>DATE(15,3,1)</f>
        <v>5539</v>
      </c>
      <c r="C30" s="226">
        <v>72832145.560000002</v>
      </c>
      <c r="D30" s="226">
        <v>6676502.0499999998</v>
      </c>
      <c r="E30" s="226">
        <v>6218826.71</v>
      </c>
      <c r="F30" s="166">
        <f t="shared" si="3"/>
        <v>7.359512675663539E-2</v>
      </c>
      <c r="G30" s="241">
        <f t="shared" si="4"/>
        <v>9.1669715325080142E-2</v>
      </c>
      <c r="H30" s="242">
        <f t="shared" si="5"/>
        <v>0.90833028467491983</v>
      </c>
      <c r="I30" s="157"/>
    </row>
    <row r="31" spans="1:9" ht="15.75" thickBot="1" x14ac:dyDescent="0.25">
      <c r="A31" s="167"/>
      <c r="B31" s="165"/>
      <c r="C31" s="226"/>
      <c r="D31" s="226"/>
      <c r="E31" s="226"/>
      <c r="F31" s="166"/>
      <c r="G31" s="241"/>
      <c r="H31" s="242"/>
      <c r="I31" s="157"/>
    </row>
    <row r="32" spans="1:9" ht="17.25" thickTop="1" thickBot="1" x14ac:dyDescent="0.3">
      <c r="A32" s="169" t="s">
        <v>14</v>
      </c>
      <c r="B32" s="155"/>
      <c r="C32" s="223">
        <f>SUM(C22:C31)</f>
        <v>622158055.6500001</v>
      </c>
      <c r="D32" s="223">
        <f>SUM(D22:D31)</f>
        <v>55510205.769999996</v>
      </c>
      <c r="E32" s="223">
        <f>SUM(E22:E31)</f>
        <v>53768414.869999997</v>
      </c>
      <c r="F32" s="170">
        <f>(+D32-E32)/E32</f>
        <v>3.2394313728817549E-2</v>
      </c>
      <c r="G32" s="236">
        <f>D32/C32</f>
        <v>8.9222031710263189E-2</v>
      </c>
      <c r="H32" s="237">
        <f>1-G32</f>
        <v>0.91077796828973678</v>
      </c>
      <c r="I32" s="157"/>
    </row>
    <row r="33" spans="1:9" ht="15.75" thickTop="1" x14ac:dyDescent="0.2">
      <c r="A33" s="171"/>
      <c r="B33" s="172"/>
      <c r="C33" s="227"/>
      <c r="D33" s="227"/>
      <c r="E33" s="227"/>
      <c r="F33" s="173"/>
      <c r="G33" s="243"/>
      <c r="H33" s="244"/>
      <c r="I33" s="157"/>
    </row>
    <row r="34" spans="1:9" ht="15.75" x14ac:dyDescent="0.25">
      <c r="A34" s="19" t="s">
        <v>60</v>
      </c>
      <c r="B34" s="165">
        <f>DATE(14,7,1)</f>
        <v>5296</v>
      </c>
      <c r="C34" s="226">
        <v>23885983.140000001</v>
      </c>
      <c r="D34" s="226">
        <v>2494578.7999999998</v>
      </c>
      <c r="E34" s="226">
        <v>2470933.6800000002</v>
      </c>
      <c r="F34" s="166">
        <f t="shared" ref="F34:F42" si="6">(+D34-E34)/E34</f>
        <v>9.569305801845578E-3</v>
      </c>
      <c r="G34" s="241">
        <f t="shared" ref="G34:G42" si="7">D34/C34</f>
        <v>0.1044369321278856</v>
      </c>
      <c r="H34" s="242">
        <f t="shared" ref="H34:H42" si="8">1-G34</f>
        <v>0.89556306787211437</v>
      </c>
      <c r="I34" s="157"/>
    </row>
    <row r="35" spans="1:9" ht="15.75" x14ac:dyDescent="0.25">
      <c r="A35" s="19"/>
      <c r="B35" s="165">
        <f>DATE(14,8,1)</f>
        <v>5327</v>
      </c>
      <c r="C35" s="226">
        <v>25331756.440000001</v>
      </c>
      <c r="D35" s="226">
        <v>2704944.47</v>
      </c>
      <c r="E35" s="226">
        <v>2466434.7200000002</v>
      </c>
      <c r="F35" s="166">
        <f t="shared" si="6"/>
        <v>9.6702235038274187E-2</v>
      </c>
      <c r="G35" s="241">
        <f t="shared" si="7"/>
        <v>0.10678077046914794</v>
      </c>
      <c r="H35" s="242">
        <f t="shared" si="8"/>
        <v>0.89321922953085209</v>
      </c>
      <c r="I35" s="157"/>
    </row>
    <row r="36" spans="1:9" ht="15.75" x14ac:dyDescent="0.25">
      <c r="A36" s="19"/>
      <c r="B36" s="165">
        <f>DATE(14,9,1)</f>
        <v>5358</v>
      </c>
      <c r="C36" s="226">
        <v>21496663.379999999</v>
      </c>
      <c r="D36" s="226">
        <v>2315066.2799999998</v>
      </c>
      <c r="E36" s="226">
        <v>2199194.21</v>
      </c>
      <c r="F36" s="166">
        <f t="shared" si="6"/>
        <v>5.2688420819369031E-2</v>
      </c>
      <c r="G36" s="241">
        <f t="shared" si="7"/>
        <v>0.10769421463583433</v>
      </c>
      <c r="H36" s="242">
        <f t="shared" si="8"/>
        <v>0.89230578536416572</v>
      </c>
      <c r="I36" s="157"/>
    </row>
    <row r="37" spans="1:9" ht="15.75" x14ac:dyDescent="0.25">
      <c r="A37" s="19"/>
      <c r="B37" s="165">
        <f>DATE(14,10,1)</f>
        <v>5388</v>
      </c>
      <c r="C37" s="226">
        <v>21913719.510000002</v>
      </c>
      <c r="D37" s="226">
        <v>2355316.7400000002</v>
      </c>
      <c r="E37" s="226">
        <v>2044677.84</v>
      </c>
      <c r="F37" s="166">
        <f t="shared" si="6"/>
        <v>0.1519255962592132</v>
      </c>
      <c r="G37" s="241">
        <f t="shared" si="7"/>
        <v>0.10748137662915629</v>
      </c>
      <c r="H37" s="242">
        <f t="shared" si="8"/>
        <v>0.89251862337084376</v>
      </c>
      <c r="I37" s="157"/>
    </row>
    <row r="38" spans="1:9" ht="15.75" x14ac:dyDescent="0.25">
      <c r="A38" s="19"/>
      <c r="B38" s="165">
        <f>DATE(14,11,1)</f>
        <v>5419</v>
      </c>
      <c r="C38" s="226">
        <v>23634376.25</v>
      </c>
      <c r="D38" s="226">
        <v>2510185.21</v>
      </c>
      <c r="E38" s="226">
        <v>2169847.31</v>
      </c>
      <c r="F38" s="166">
        <f t="shared" si="6"/>
        <v>0.15684877845160447</v>
      </c>
      <c r="G38" s="241">
        <f t="shared" si="7"/>
        <v>0.10620907374274369</v>
      </c>
      <c r="H38" s="242">
        <f t="shared" si="8"/>
        <v>0.89379092625725631</v>
      </c>
      <c r="I38" s="157"/>
    </row>
    <row r="39" spans="1:9" ht="15.75" x14ac:dyDescent="0.25">
      <c r="A39" s="19"/>
      <c r="B39" s="165">
        <f>DATE(14,12,1)</f>
        <v>5449</v>
      </c>
      <c r="C39" s="226">
        <v>23042019.550000001</v>
      </c>
      <c r="D39" s="226">
        <v>2494340.17</v>
      </c>
      <c r="E39" s="226">
        <v>2102627.31</v>
      </c>
      <c r="F39" s="166">
        <f t="shared" si="6"/>
        <v>0.1862968573351213</v>
      </c>
      <c r="G39" s="241">
        <f t="shared" si="7"/>
        <v>0.10825180338847512</v>
      </c>
      <c r="H39" s="242">
        <f t="shared" si="8"/>
        <v>0.89174819661152482</v>
      </c>
      <c r="I39" s="157"/>
    </row>
    <row r="40" spans="1:9" ht="15.75" x14ac:dyDescent="0.25">
      <c r="A40" s="19"/>
      <c r="B40" s="165">
        <f>DATE(15,1,1)</f>
        <v>5480</v>
      </c>
      <c r="C40" s="226">
        <v>23227732.800000001</v>
      </c>
      <c r="D40" s="226">
        <v>2532118.2999999998</v>
      </c>
      <c r="E40" s="226">
        <v>2114904.7999999998</v>
      </c>
      <c r="F40" s="166">
        <f t="shared" si="6"/>
        <v>0.19727294580824634</v>
      </c>
      <c r="G40" s="241">
        <f t="shared" si="7"/>
        <v>0.1090127186240062</v>
      </c>
      <c r="H40" s="242">
        <f t="shared" si="8"/>
        <v>0.89098728137599381</v>
      </c>
      <c r="I40" s="157"/>
    </row>
    <row r="41" spans="1:9" ht="15.75" x14ac:dyDescent="0.25">
      <c r="A41" s="19"/>
      <c r="B41" s="165">
        <f>DATE(15,2,1)</f>
        <v>5511</v>
      </c>
      <c r="C41" s="226">
        <v>24719211.329999998</v>
      </c>
      <c r="D41" s="226">
        <v>2578350.25</v>
      </c>
      <c r="E41" s="226">
        <v>2458744.4700000002</v>
      </c>
      <c r="F41" s="166">
        <f t="shared" si="6"/>
        <v>4.8645063144768269E-2</v>
      </c>
      <c r="G41" s="241">
        <f t="shared" si="7"/>
        <v>0.10430552235583805</v>
      </c>
      <c r="H41" s="242">
        <f t="shared" si="8"/>
        <v>0.89569447764416199</v>
      </c>
      <c r="I41" s="157"/>
    </row>
    <row r="42" spans="1:9" ht="15.75" x14ac:dyDescent="0.25">
      <c r="A42" s="19"/>
      <c r="B42" s="165">
        <f>DATE(15,3,1)</f>
        <v>5539</v>
      </c>
      <c r="C42" s="226">
        <v>25612950.059999999</v>
      </c>
      <c r="D42" s="226">
        <v>2659202.77</v>
      </c>
      <c r="E42" s="226">
        <v>2566685.54</v>
      </c>
      <c r="F42" s="166">
        <f t="shared" si="6"/>
        <v>3.6045408975187501E-2</v>
      </c>
      <c r="G42" s="241">
        <f t="shared" si="7"/>
        <v>0.10382258833014725</v>
      </c>
      <c r="H42" s="242">
        <f t="shared" si="8"/>
        <v>0.89617741166985276</v>
      </c>
      <c r="I42" s="157"/>
    </row>
    <row r="43" spans="1:9" ht="15.75" thickBot="1" x14ac:dyDescent="0.25">
      <c r="A43" s="167"/>
      <c r="B43" s="165"/>
      <c r="C43" s="226"/>
      <c r="D43" s="226"/>
      <c r="E43" s="226"/>
      <c r="F43" s="166"/>
      <c r="G43" s="241"/>
      <c r="H43" s="242"/>
      <c r="I43" s="157"/>
    </row>
    <row r="44" spans="1:9" ht="17.25" thickTop="1" thickBot="1" x14ac:dyDescent="0.3">
      <c r="A44" s="174" t="s">
        <v>14</v>
      </c>
      <c r="B44" s="175"/>
      <c r="C44" s="228">
        <f>SUM(C34:C43)</f>
        <v>212864412.46000004</v>
      </c>
      <c r="D44" s="228">
        <f>SUM(D34:D43)</f>
        <v>22644102.989999998</v>
      </c>
      <c r="E44" s="228">
        <f>SUM(E34:E43)</f>
        <v>20594049.879999999</v>
      </c>
      <c r="F44" s="176">
        <f>(+D44-E44)/E44</f>
        <v>9.9545894175526756E-2</v>
      </c>
      <c r="G44" s="245">
        <f>D44/C44</f>
        <v>0.10637805882303185</v>
      </c>
      <c r="H44" s="246">
        <f>1-G44</f>
        <v>0.89362194117696814</v>
      </c>
      <c r="I44" s="157"/>
    </row>
    <row r="45" spans="1:9" ht="15.75" thickTop="1" x14ac:dyDescent="0.2">
      <c r="A45" s="167"/>
      <c r="B45" s="168"/>
      <c r="C45" s="226"/>
      <c r="D45" s="226"/>
      <c r="E45" s="226"/>
      <c r="F45" s="166"/>
      <c r="G45" s="241"/>
      <c r="H45" s="242"/>
      <c r="I45" s="157"/>
    </row>
    <row r="46" spans="1:9" ht="15.75" x14ac:dyDescent="0.25">
      <c r="A46" s="177" t="s">
        <v>67</v>
      </c>
      <c r="B46" s="165">
        <f>DATE(14,7,1)</f>
        <v>5296</v>
      </c>
      <c r="C46" s="226">
        <v>172113476.08000001</v>
      </c>
      <c r="D46" s="226">
        <v>16184356.720000001</v>
      </c>
      <c r="E46" s="226">
        <v>17835300.09</v>
      </c>
      <c r="F46" s="166">
        <f t="shared" ref="F46:F54" si="9">(+D46-E46)/E46</f>
        <v>-9.2566055052006657E-2</v>
      </c>
      <c r="G46" s="241">
        <f t="shared" ref="G46:G54" si="10">D46/C46</f>
        <v>9.4033059401329819E-2</v>
      </c>
      <c r="H46" s="242">
        <f t="shared" ref="H46:H54" si="11">1-G46</f>
        <v>0.90596694059867022</v>
      </c>
      <c r="I46" s="157"/>
    </row>
    <row r="47" spans="1:9" ht="15.75" x14ac:dyDescent="0.25">
      <c r="A47" s="177"/>
      <c r="B47" s="165">
        <f>DATE(14,8,1)</f>
        <v>5327</v>
      </c>
      <c r="C47" s="226">
        <v>172329267.96000001</v>
      </c>
      <c r="D47" s="226">
        <v>16094086.529999999</v>
      </c>
      <c r="E47" s="226">
        <v>17319904.370000001</v>
      </c>
      <c r="F47" s="166">
        <f t="shared" si="9"/>
        <v>-7.0775092853471777E-2</v>
      </c>
      <c r="G47" s="241">
        <f t="shared" si="10"/>
        <v>9.3391486661079867E-2</v>
      </c>
      <c r="H47" s="242">
        <f t="shared" si="11"/>
        <v>0.90660851333892012</v>
      </c>
      <c r="I47" s="157"/>
    </row>
    <row r="48" spans="1:9" ht="15.75" x14ac:dyDescent="0.25">
      <c r="A48" s="177"/>
      <c r="B48" s="165">
        <f>DATE(14,9,1)</f>
        <v>5358</v>
      </c>
      <c r="C48" s="226">
        <v>154438510.02000001</v>
      </c>
      <c r="D48" s="226">
        <v>14708506.16</v>
      </c>
      <c r="E48" s="226">
        <v>15597210.9</v>
      </c>
      <c r="F48" s="166">
        <f t="shared" si="9"/>
        <v>-5.6978439651668759E-2</v>
      </c>
      <c r="G48" s="241">
        <f t="shared" si="10"/>
        <v>9.5238591450378718E-2</v>
      </c>
      <c r="H48" s="242">
        <f t="shared" si="11"/>
        <v>0.90476140854962128</v>
      </c>
      <c r="I48" s="157"/>
    </row>
    <row r="49" spans="1:9" ht="15.75" x14ac:dyDescent="0.25">
      <c r="A49" s="177"/>
      <c r="B49" s="165">
        <f>DATE(14,10,1)</f>
        <v>5388</v>
      </c>
      <c r="C49" s="226">
        <v>167656435.88</v>
      </c>
      <c r="D49" s="226">
        <v>15565657.960000001</v>
      </c>
      <c r="E49" s="226">
        <v>14804268.75</v>
      </c>
      <c r="F49" s="166">
        <f t="shared" si="9"/>
        <v>5.1430382875209617E-2</v>
      </c>
      <c r="G49" s="241">
        <f t="shared" si="10"/>
        <v>9.284259132850177E-2</v>
      </c>
      <c r="H49" s="242">
        <f t="shared" si="11"/>
        <v>0.90715740867149819</v>
      </c>
      <c r="I49" s="157"/>
    </row>
    <row r="50" spans="1:9" ht="15.75" x14ac:dyDescent="0.25">
      <c r="A50" s="177"/>
      <c r="B50" s="165">
        <f>DATE(14,11,1)</f>
        <v>5419</v>
      </c>
      <c r="C50" s="226">
        <v>159448297.94</v>
      </c>
      <c r="D50" s="226">
        <v>14902890.810000001</v>
      </c>
      <c r="E50" s="226">
        <v>15166817.130000001</v>
      </c>
      <c r="F50" s="166">
        <f t="shared" si="9"/>
        <v>-1.740156274963937E-2</v>
      </c>
      <c r="G50" s="241">
        <f t="shared" si="10"/>
        <v>9.3465348972291459E-2</v>
      </c>
      <c r="H50" s="242">
        <f t="shared" si="11"/>
        <v>0.90653465102770858</v>
      </c>
      <c r="I50" s="157"/>
    </row>
    <row r="51" spans="1:9" ht="15.75" x14ac:dyDescent="0.25">
      <c r="A51" s="177"/>
      <c r="B51" s="165">
        <f>DATE(14,12,1)</f>
        <v>5449</v>
      </c>
      <c r="C51" s="226">
        <v>169511473.13999999</v>
      </c>
      <c r="D51" s="226">
        <v>15639270.65</v>
      </c>
      <c r="E51" s="226">
        <v>15302968.84</v>
      </c>
      <c r="F51" s="166">
        <f t="shared" si="9"/>
        <v>2.1976246146496143E-2</v>
      </c>
      <c r="G51" s="241">
        <f t="shared" si="10"/>
        <v>9.2260838516125002E-2</v>
      </c>
      <c r="H51" s="242">
        <f t="shared" si="11"/>
        <v>0.90773916148387501</v>
      </c>
      <c r="I51" s="157"/>
    </row>
    <row r="52" spans="1:9" ht="15.75" x14ac:dyDescent="0.25">
      <c r="A52" s="177"/>
      <c r="B52" s="165">
        <f>DATE(15,1,1)</f>
        <v>5480</v>
      </c>
      <c r="C52" s="226">
        <v>169154561.91999999</v>
      </c>
      <c r="D52" s="226">
        <v>15672252.65</v>
      </c>
      <c r="E52" s="226">
        <v>14800070.33</v>
      </c>
      <c r="F52" s="166">
        <f t="shared" si="9"/>
        <v>5.8930957796333679E-2</v>
      </c>
      <c r="G52" s="241">
        <f t="shared" si="10"/>
        <v>9.2650487649349009E-2</v>
      </c>
      <c r="H52" s="242">
        <f t="shared" si="11"/>
        <v>0.90734951235065098</v>
      </c>
      <c r="I52" s="157"/>
    </row>
    <row r="53" spans="1:9" ht="15.75" x14ac:dyDescent="0.25">
      <c r="A53" s="177"/>
      <c r="B53" s="165">
        <f>DATE(15,2,1)</f>
        <v>5511</v>
      </c>
      <c r="C53" s="226">
        <v>166793349.72</v>
      </c>
      <c r="D53" s="226">
        <v>15554550.359999999</v>
      </c>
      <c r="E53" s="226">
        <v>15128457.93</v>
      </c>
      <c r="F53" s="166">
        <f t="shared" si="9"/>
        <v>2.8164961159395558E-2</v>
      </c>
      <c r="G53" s="241">
        <f t="shared" si="10"/>
        <v>9.3256418113262893E-2</v>
      </c>
      <c r="H53" s="242">
        <f t="shared" si="11"/>
        <v>0.90674358188673709</v>
      </c>
      <c r="I53" s="157"/>
    </row>
    <row r="54" spans="1:9" ht="15.75" x14ac:dyDescent="0.25">
      <c r="A54" s="177"/>
      <c r="B54" s="165">
        <f>DATE(15,3,1)</f>
        <v>5539</v>
      </c>
      <c r="C54" s="226">
        <v>183559257.38</v>
      </c>
      <c r="D54" s="226">
        <v>17725546.16</v>
      </c>
      <c r="E54" s="226">
        <v>17395656.23</v>
      </c>
      <c r="F54" s="166">
        <f t="shared" si="9"/>
        <v>1.8963925570745756E-2</v>
      </c>
      <c r="G54" s="241">
        <f t="shared" si="10"/>
        <v>9.656579794995028E-2</v>
      </c>
      <c r="H54" s="242">
        <f t="shared" si="11"/>
        <v>0.90343420205004976</v>
      </c>
      <c r="I54" s="157"/>
    </row>
    <row r="55" spans="1:9" ht="15.75" thickBot="1" x14ac:dyDescent="0.25">
      <c r="A55" s="167"/>
      <c r="B55" s="168"/>
      <c r="C55" s="226"/>
      <c r="D55" s="226"/>
      <c r="E55" s="226"/>
      <c r="F55" s="166"/>
      <c r="G55" s="241"/>
      <c r="H55" s="242"/>
      <c r="I55" s="157"/>
    </row>
    <row r="56" spans="1:9" ht="17.25" thickTop="1" thickBot="1" x14ac:dyDescent="0.3">
      <c r="A56" s="174" t="s">
        <v>14</v>
      </c>
      <c r="B56" s="178"/>
      <c r="C56" s="228">
        <f>SUM(C46:C55)</f>
        <v>1515004630.04</v>
      </c>
      <c r="D56" s="228">
        <f>SUM(D46:D55)</f>
        <v>142047118</v>
      </c>
      <c r="E56" s="228">
        <f>SUM(E46:E55)</f>
        <v>143350654.56999999</v>
      </c>
      <c r="F56" s="176">
        <f>(+D56-E56)/E56</f>
        <v>-9.0933422934839758E-3</v>
      </c>
      <c r="G56" s="245">
        <f>D56/C56</f>
        <v>9.3760187383882518E-2</v>
      </c>
      <c r="H56" s="246">
        <f>1-G56</f>
        <v>0.90623981261611752</v>
      </c>
      <c r="I56" s="157"/>
    </row>
    <row r="57" spans="1:9" ht="15.75" thickTop="1" x14ac:dyDescent="0.2">
      <c r="A57" s="167"/>
      <c r="B57" s="168"/>
      <c r="C57" s="226"/>
      <c r="D57" s="226"/>
      <c r="E57" s="226"/>
      <c r="F57" s="166"/>
      <c r="G57" s="241"/>
      <c r="H57" s="242"/>
      <c r="I57" s="157"/>
    </row>
    <row r="58" spans="1:9" ht="15.75" x14ac:dyDescent="0.25">
      <c r="A58" s="164" t="s">
        <v>16</v>
      </c>
      <c r="B58" s="165">
        <f>DATE(14,7,1)</f>
        <v>5296</v>
      </c>
      <c r="C58" s="226">
        <v>117913499.73999999</v>
      </c>
      <c r="D58" s="226">
        <v>11317531.220000001</v>
      </c>
      <c r="E58" s="226">
        <v>12102747.189999999</v>
      </c>
      <c r="F58" s="166">
        <f t="shared" ref="F58:F66" si="12">(+D58-E58)/E58</f>
        <v>-6.4879151623425654E-2</v>
      </c>
      <c r="G58" s="241">
        <f t="shared" ref="G58:G66" si="13">D58/C58</f>
        <v>9.598164116030164E-2</v>
      </c>
      <c r="H58" s="242">
        <f t="shared" ref="H58:H66" si="14">1-G58</f>
        <v>0.90401835883969839</v>
      </c>
      <c r="I58" s="157"/>
    </row>
    <row r="59" spans="1:9" ht="15.75" x14ac:dyDescent="0.25">
      <c r="A59" s="164"/>
      <c r="B59" s="165">
        <f>DATE(14,8,1)</f>
        <v>5327</v>
      </c>
      <c r="C59" s="226">
        <v>128157405.69</v>
      </c>
      <c r="D59" s="226">
        <v>12087387.41</v>
      </c>
      <c r="E59" s="226">
        <v>12818955.17</v>
      </c>
      <c r="F59" s="166">
        <f t="shared" si="12"/>
        <v>-5.7069219004063323E-2</v>
      </c>
      <c r="G59" s="241">
        <f t="shared" si="13"/>
        <v>9.4316729844221306E-2</v>
      </c>
      <c r="H59" s="242">
        <f t="shared" si="14"/>
        <v>0.90568327015577865</v>
      </c>
      <c r="I59" s="157"/>
    </row>
    <row r="60" spans="1:9" ht="15.75" x14ac:dyDescent="0.25">
      <c r="A60" s="164"/>
      <c r="B60" s="165">
        <f>DATE(14,9,1)</f>
        <v>5358</v>
      </c>
      <c r="C60" s="226">
        <v>116272881.78</v>
      </c>
      <c r="D60" s="226">
        <v>11134793.77</v>
      </c>
      <c r="E60" s="226">
        <v>11559629.189999999</v>
      </c>
      <c r="F60" s="166">
        <f t="shared" si="12"/>
        <v>-3.6751647740354547E-2</v>
      </c>
      <c r="G60" s="241">
        <f t="shared" si="13"/>
        <v>9.5764322682464778E-2</v>
      </c>
      <c r="H60" s="242">
        <f t="shared" si="14"/>
        <v>0.90423567731753518</v>
      </c>
      <c r="I60" s="157"/>
    </row>
    <row r="61" spans="1:9" ht="15.75" x14ac:dyDescent="0.25">
      <c r="A61" s="164"/>
      <c r="B61" s="165">
        <f>DATE(14,10,1)</f>
        <v>5388</v>
      </c>
      <c r="C61" s="226">
        <v>123094224.28</v>
      </c>
      <c r="D61" s="226">
        <v>11239699.890000001</v>
      </c>
      <c r="E61" s="226">
        <v>12317052.529999999</v>
      </c>
      <c r="F61" s="166">
        <f t="shared" si="12"/>
        <v>-8.7468380716567332E-2</v>
      </c>
      <c r="G61" s="241">
        <f t="shared" si="13"/>
        <v>9.1309725990337917E-2</v>
      </c>
      <c r="H61" s="242">
        <f t="shared" si="14"/>
        <v>0.90869027400966207</v>
      </c>
      <c r="I61" s="157"/>
    </row>
    <row r="62" spans="1:9" ht="15.75" x14ac:dyDescent="0.25">
      <c r="A62" s="164"/>
      <c r="B62" s="165">
        <f>DATE(14,11,1)</f>
        <v>5419</v>
      </c>
      <c r="C62" s="226">
        <v>118607546.79000001</v>
      </c>
      <c r="D62" s="226">
        <v>10996815.119999999</v>
      </c>
      <c r="E62" s="226">
        <v>12363565.16</v>
      </c>
      <c r="F62" s="166">
        <f t="shared" si="12"/>
        <v>-0.11054659576849765</v>
      </c>
      <c r="G62" s="241">
        <f t="shared" si="13"/>
        <v>9.2715981551075785E-2</v>
      </c>
      <c r="H62" s="242">
        <f t="shared" si="14"/>
        <v>0.90728401844892426</v>
      </c>
      <c r="I62" s="157"/>
    </row>
    <row r="63" spans="1:9" ht="15.75" x14ac:dyDescent="0.25">
      <c r="A63" s="164"/>
      <c r="B63" s="165">
        <f>DATE(14,12,1)</f>
        <v>5449</v>
      </c>
      <c r="C63" s="226">
        <v>120282475.67</v>
      </c>
      <c r="D63" s="226">
        <v>10967179.619999999</v>
      </c>
      <c r="E63" s="226">
        <v>10564622.810000001</v>
      </c>
      <c r="F63" s="166">
        <f t="shared" si="12"/>
        <v>3.8104229298083069E-2</v>
      </c>
      <c r="G63" s="241">
        <f t="shared" si="13"/>
        <v>9.1178532524462785E-2</v>
      </c>
      <c r="H63" s="242">
        <f t="shared" si="14"/>
        <v>0.90882146747553727</v>
      </c>
      <c r="I63" s="157"/>
    </row>
    <row r="64" spans="1:9" ht="15.75" x14ac:dyDescent="0.25">
      <c r="A64" s="164"/>
      <c r="B64" s="165">
        <f>DATE(15,1,1)</f>
        <v>5480</v>
      </c>
      <c r="C64" s="226">
        <v>117260996.73</v>
      </c>
      <c r="D64" s="226">
        <v>11208885.08</v>
      </c>
      <c r="E64" s="226">
        <v>10377889.390000001</v>
      </c>
      <c r="F64" s="166">
        <f t="shared" si="12"/>
        <v>8.0073669969997568E-2</v>
      </c>
      <c r="G64" s="241">
        <f t="shared" si="13"/>
        <v>9.5589201802617152E-2</v>
      </c>
      <c r="H64" s="242">
        <f t="shared" si="14"/>
        <v>0.90441079819738279</v>
      </c>
      <c r="I64" s="157"/>
    </row>
    <row r="65" spans="1:9" ht="15.75" x14ac:dyDescent="0.25">
      <c r="A65" s="164"/>
      <c r="B65" s="165">
        <f>DATE(15,2,1)</f>
        <v>5511</v>
      </c>
      <c r="C65" s="226">
        <v>108975251.3</v>
      </c>
      <c r="D65" s="226">
        <v>10905771.720000001</v>
      </c>
      <c r="E65" s="226">
        <v>10947235.199999999</v>
      </c>
      <c r="F65" s="166">
        <f t="shared" si="12"/>
        <v>-3.7875755149572913E-3</v>
      </c>
      <c r="G65" s="241">
        <f t="shared" si="13"/>
        <v>0.1000756739709395</v>
      </c>
      <c r="H65" s="242">
        <f t="shared" si="14"/>
        <v>0.89992432602906047</v>
      </c>
      <c r="I65" s="157"/>
    </row>
    <row r="66" spans="1:9" ht="15.75" x14ac:dyDescent="0.25">
      <c r="A66" s="164"/>
      <c r="B66" s="165">
        <f>DATE(15,3,1)</f>
        <v>5539</v>
      </c>
      <c r="C66" s="226">
        <v>120126415.48999999</v>
      </c>
      <c r="D66" s="226">
        <v>11881750.199999999</v>
      </c>
      <c r="E66" s="226">
        <v>12584292.550000001</v>
      </c>
      <c r="F66" s="166">
        <f t="shared" si="12"/>
        <v>-5.5826924494059182E-2</v>
      </c>
      <c r="G66" s="241">
        <f t="shared" si="13"/>
        <v>9.8910386625072511E-2</v>
      </c>
      <c r="H66" s="242">
        <f t="shared" si="14"/>
        <v>0.90108961337492754</v>
      </c>
      <c r="I66" s="157"/>
    </row>
    <row r="67" spans="1:9" ht="15.75" thickBot="1" x14ac:dyDescent="0.25">
      <c r="A67" s="167"/>
      <c r="B67" s="165"/>
      <c r="C67" s="226"/>
      <c r="D67" s="226"/>
      <c r="E67" s="226"/>
      <c r="F67" s="166"/>
      <c r="G67" s="241"/>
      <c r="H67" s="242"/>
      <c r="I67" s="157"/>
    </row>
    <row r="68" spans="1:9" ht="17.25" thickTop="1" thickBot="1" x14ac:dyDescent="0.3">
      <c r="A68" s="174" t="s">
        <v>14</v>
      </c>
      <c r="B68" s="175"/>
      <c r="C68" s="228">
        <f>SUM(C58:C67)</f>
        <v>1070690697.4699999</v>
      </c>
      <c r="D68" s="230">
        <f>SUM(D58:D67)</f>
        <v>101739814.03</v>
      </c>
      <c r="E68" s="273">
        <f>SUM(E58:E67)</f>
        <v>105635989.19</v>
      </c>
      <c r="F68" s="274">
        <f>(+D68-E68)/E68</f>
        <v>-3.6883028122094083E-2</v>
      </c>
      <c r="G68" s="249">
        <f>D68/C68</f>
        <v>9.5022600149984662E-2</v>
      </c>
      <c r="H68" s="272">
        <f>1-G68</f>
        <v>0.90497739985001535</v>
      </c>
      <c r="I68" s="157"/>
    </row>
    <row r="69" spans="1:9" ht="15.75" thickTop="1" x14ac:dyDescent="0.2">
      <c r="A69" s="167"/>
      <c r="B69" s="168"/>
      <c r="C69" s="226"/>
      <c r="D69" s="226"/>
      <c r="E69" s="226"/>
      <c r="F69" s="166"/>
      <c r="G69" s="241"/>
      <c r="H69" s="242"/>
      <c r="I69" s="157"/>
    </row>
    <row r="70" spans="1:9" ht="15.75" x14ac:dyDescent="0.25">
      <c r="A70" s="164" t="s">
        <v>68</v>
      </c>
      <c r="B70" s="165">
        <f>DATE(14,7,1)</f>
        <v>5296</v>
      </c>
      <c r="C70" s="226">
        <v>46700410.200000003</v>
      </c>
      <c r="D70" s="226">
        <v>4629796.1500000004</v>
      </c>
      <c r="E70" s="226">
        <v>4284425.3899999997</v>
      </c>
      <c r="F70" s="166">
        <f t="shared" ref="F70:F78" si="15">(+D70-E70)/E70</f>
        <v>8.0610753732836216E-2</v>
      </c>
      <c r="G70" s="241">
        <f t="shared" ref="G70:G78" si="16">D70/C70</f>
        <v>9.9138233051323396E-2</v>
      </c>
      <c r="H70" s="242">
        <f t="shared" ref="H70:H78" si="17">1-G70</f>
        <v>0.90086176694867659</v>
      </c>
      <c r="I70" s="157"/>
    </row>
    <row r="71" spans="1:9" ht="15.75" x14ac:dyDescent="0.25">
      <c r="A71" s="164"/>
      <c r="B71" s="165">
        <f>DATE(14,8,1)</f>
        <v>5327</v>
      </c>
      <c r="C71" s="226">
        <v>51084267.969999999</v>
      </c>
      <c r="D71" s="226">
        <v>5028824.28</v>
      </c>
      <c r="E71" s="226">
        <v>4679283.96</v>
      </c>
      <c r="F71" s="166">
        <f t="shared" si="15"/>
        <v>7.4699531592436266E-2</v>
      </c>
      <c r="G71" s="241">
        <f t="shared" si="16"/>
        <v>9.8441741065042818E-2</v>
      </c>
      <c r="H71" s="242">
        <f t="shared" si="17"/>
        <v>0.90155825893495722</v>
      </c>
      <c r="I71" s="157"/>
    </row>
    <row r="72" spans="1:9" ht="15.75" x14ac:dyDescent="0.25">
      <c r="A72" s="164"/>
      <c r="B72" s="165">
        <f>DATE(14,9,1)</f>
        <v>5358</v>
      </c>
      <c r="C72" s="226">
        <v>41927140.990000002</v>
      </c>
      <c r="D72" s="226">
        <v>4179634.68</v>
      </c>
      <c r="E72" s="226">
        <v>4106556.6</v>
      </c>
      <c r="F72" s="166">
        <f t="shared" si="15"/>
        <v>1.7795463966087811E-2</v>
      </c>
      <c r="G72" s="241">
        <f t="shared" si="16"/>
        <v>9.9688044100046808E-2</v>
      </c>
      <c r="H72" s="242">
        <f t="shared" si="17"/>
        <v>0.90031195589995316</v>
      </c>
      <c r="I72" s="157"/>
    </row>
    <row r="73" spans="1:9" ht="15.75" x14ac:dyDescent="0.25">
      <c r="A73" s="164"/>
      <c r="B73" s="165">
        <f>DATE(14,10,1)</f>
        <v>5388</v>
      </c>
      <c r="C73" s="226">
        <v>45432033.25</v>
      </c>
      <c r="D73" s="226">
        <v>4484784.0999999996</v>
      </c>
      <c r="E73" s="226">
        <v>3750005.7</v>
      </c>
      <c r="F73" s="166">
        <f t="shared" si="15"/>
        <v>0.19594060883694109</v>
      </c>
      <c r="G73" s="241">
        <f t="shared" si="16"/>
        <v>9.8714140204147691E-2</v>
      </c>
      <c r="H73" s="242">
        <f t="shared" si="17"/>
        <v>0.9012858597958523</v>
      </c>
      <c r="I73" s="157"/>
    </row>
    <row r="74" spans="1:9" ht="15.75" x14ac:dyDescent="0.25">
      <c r="A74" s="164"/>
      <c r="B74" s="165">
        <f>DATE(14,11,1)</f>
        <v>5419</v>
      </c>
      <c r="C74" s="226">
        <v>46000802.68</v>
      </c>
      <c r="D74" s="226">
        <v>4434332.43</v>
      </c>
      <c r="E74" s="226">
        <v>4135894.29</v>
      </c>
      <c r="F74" s="166">
        <f t="shared" si="15"/>
        <v>7.215806765699509E-2</v>
      </c>
      <c r="G74" s="241">
        <f t="shared" si="16"/>
        <v>9.6396849003853077E-2</v>
      </c>
      <c r="H74" s="242">
        <f t="shared" si="17"/>
        <v>0.90360315099614696</v>
      </c>
      <c r="I74" s="157"/>
    </row>
    <row r="75" spans="1:9" ht="15.75" x14ac:dyDescent="0.25">
      <c r="A75" s="164"/>
      <c r="B75" s="165">
        <f>DATE(14,12,1)</f>
        <v>5449</v>
      </c>
      <c r="C75" s="226">
        <v>46770068.170000002</v>
      </c>
      <c r="D75" s="226">
        <v>4523055.2</v>
      </c>
      <c r="E75" s="226">
        <v>4017872.38</v>
      </c>
      <c r="F75" s="166">
        <f t="shared" si="15"/>
        <v>0.12573391392784863</v>
      </c>
      <c r="G75" s="241">
        <f t="shared" si="16"/>
        <v>9.6708330284223321E-2</v>
      </c>
      <c r="H75" s="242">
        <f t="shared" si="17"/>
        <v>0.90329166971577668</v>
      </c>
      <c r="I75" s="157"/>
    </row>
    <row r="76" spans="1:9" ht="15.75" x14ac:dyDescent="0.25">
      <c r="A76" s="164"/>
      <c r="B76" s="165">
        <f>DATE(15,1,1)</f>
        <v>5480</v>
      </c>
      <c r="C76" s="226">
        <v>48665686.619999997</v>
      </c>
      <c r="D76" s="226">
        <v>4705964.1500000004</v>
      </c>
      <c r="E76" s="226">
        <v>3965079.75</v>
      </c>
      <c r="F76" s="166">
        <f t="shared" si="15"/>
        <v>0.18685233254135691</v>
      </c>
      <c r="G76" s="241">
        <f t="shared" si="16"/>
        <v>9.6699840829246694E-2</v>
      </c>
      <c r="H76" s="242">
        <f t="shared" si="17"/>
        <v>0.90330015917075335</v>
      </c>
      <c r="I76" s="157"/>
    </row>
    <row r="77" spans="1:9" ht="15.75" x14ac:dyDescent="0.25">
      <c r="A77" s="164"/>
      <c r="B77" s="165">
        <f>DATE(15,2,1)</f>
        <v>5511</v>
      </c>
      <c r="C77" s="226">
        <v>49579489.030000001</v>
      </c>
      <c r="D77" s="226">
        <v>4729079.0999999996</v>
      </c>
      <c r="E77" s="226">
        <v>4227175.72</v>
      </c>
      <c r="F77" s="166">
        <f t="shared" si="15"/>
        <v>0.11873255649755669</v>
      </c>
      <c r="G77" s="241">
        <f t="shared" si="16"/>
        <v>9.5383780521386297E-2</v>
      </c>
      <c r="H77" s="242">
        <f t="shared" si="17"/>
        <v>0.9046162194786137</v>
      </c>
      <c r="I77" s="157"/>
    </row>
    <row r="78" spans="1:9" ht="15.75" x14ac:dyDescent="0.25">
      <c r="A78" s="164"/>
      <c r="B78" s="165">
        <f>DATE(15,3,1)</f>
        <v>5539</v>
      </c>
      <c r="C78" s="226">
        <v>50537008.689999998</v>
      </c>
      <c r="D78" s="226">
        <v>5067261.68</v>
      </c>
      <c r="E78" s="226">
        <v>4557130.9400000004</v>
      </c>
      <c r="F78" s="166">
        <f t="shared" si="15"/>
        <v>0.11194120746506336</v>
      </c>
      <c r="G78" s="241">
        <f t="shared" si="16"/>
        <v>0.10026833426337486</v>
      </c>
      <c r="H78" s="242">
        <f t="shared" si="17"/>
        <v>0.89973166573662511</v>
      </c>
      <c r="I78" s="157"/>
    </row>
    <row r="79" spans="1:9" ht="15.75" thickBot="1" x14ac:dyDescent="0.25">
      <c r="A79" s="167"/>
      <c r="B79" s="165"/>
      <c r="C79" s="226"/>
      <c r="D79" s="226"/>
      <c r="E79" s="226"/>
      <c r="F79" s="166"/>
      <c r="G79" s="241"/>
      <c r="H79" s="242"/>
      <c r="I79" s="157"/>
    </row>
    <row r="80" spans="1:9" ht="17.25" thickTop="1" thickBot="1" x14ac:dyDescent="0.3">
      <c r="A80" s="174" t="s">
        <v>14</v>
      </c>
      <c r="B80" s="175"/>
      <c r="C80" s="228">
        <f>SUM(C70:C79)</f>
        <v>426696907.59999996</v>
      </c>
      <c r="D80" s="230">
        <f>SUM(D70:D79)</f>
        <v>41782731.770000003</v>
      </c>
      <c r="E80" s="273">
        <f>SUM(E70:E79)</f>
        <v>37723424.729999997</v>
      </c>
      <c r="F80" s="274">
        <f>(+D80-E80)/E80</f>
        <v>0.1076070656111929</v>
      </c>
      <c r="G80" s="249">
        <f>D80/C80</f>
        <v>9.792133719696075E-2</v>
      </c>
      <c r="H80" s="272">
        <f>1-G80</f>
        <v>0.90207866280303928</v>
      </c>
      <c r="I80" s="157"/>
    </row>
    <row r="81" spans="1:9" ht="15.75" thickTop="1" x14ac:dyDescent="0.2">
      <c r="A81" s="167"/>
      <c r="B81" s="168"/>
      <c r="C81" s="226"/>
      <c r="D81" s="226"/>
      <c r="E81" s="226"/>
      <c r="F81" s="166"/>
      <c r="G81" s="241"/>
      <c r="H81" s="242"/>
      <c r="I81" s="157"/>
    </row>
    <row r="82" spans="1:9" ht="15.75" x14ac:dyDescent="0.25">
      <c r="A82" s="164" t="s">
        <v>17</v>
      </c>
      <c r="B82" s="165">
        <f>DATE(14,7,1)</f>
        <v>5296</v>
      </c>
      <c r="C82" s="226">
        <v>61551060.25</v>
      </c>
      <c r="D82" s="226">
        <v>6042752.3300000001</v>
      </c>
      <c r="E82" s="226">
        <v>6162329.2300000004</v>
      </c>
      <c r="F82" s="166">
        <f t="shared" ref="F82:F90" si="18">(+D82-E82)/E82</f>
        <v>-1.9404497153100074E-2</v>
      </c>
      <c r="G82" s="241">
        <f t="shared" ref="G82:G90" si="19">D82/C82</f>
        <v>9.8174626163324299E-2</v>
      </c>
      <c r="H82" s="242">
        <f t="shared" ref="H82:H90" si="20">1-G82</f>
        <v>0.90182537383667571</v>
      </c>
      <c r="I82" s="157"/>
    </row>
    <row r="83" spans="1:9" ht="15.75" x14ac:dyDescent="0.25">
      <c r="A83" s="164"/>
      <c r="B83" s="165">
        <f>DATE(14,8,1)</f>
        <v>5327</v>
      </c>
      <c r="C83" s="226">
        <v>61716291.509999998</v>
      </c>
      <c r="D83" s="226">
        <v>6053208.7599999998</v>
      </c>
      <c r="E83" s="226">
        <v>6150694.9400000004</v>
      </c>
      <c r="F83" s="166">
        <f t="shared" si="18"/>
        <v>-1.5849620400780376E-2</v>
      </c>
      <c r="G83" s="241">
        <f t="shared" si="19"/>
        <v>9.8081213434854361E-2</v>
      </c>
      <c r="H83" s="242">
        <f t="shared" si="20"/>
        <v>0.90191878656514568</v>
      </c>
      <c r="I83" s="157"/>
    </row>
    <row r="84" spans="1:9" ht="15.75" x14ac:dyDescent="0.25">
      <c r="A84" s="164"/>
      <c r="B84" s="165">
        <f>DATE(14,9,1)</f>
        <v>5358</v>
      </c>
      <c r="C84" s="226">
        <v>56572219.350000001</v>
      </c>
      <c r="D84" s="226">
        <v>5550911.7000000002</v>
      </c>
      <c r="E84" s="226">
        <v>5751750.3200000003</v>
      </c>
      <c r="F84" s="166">
        <f t="shared" si="18"/>
        <v>-3.4917826544320532E-2</v>
      </c>
      <c r="G84" s="241">
        <f t="shared" si="19"/>
        <v>9.8120804942399706E-2</v>
      </c>
      <c r="H84" s="242">
        <f t="shared" si="20"/>
        <v>0.90187919505760028</v>
      </c>
      <c r="I84" s="157"/>
    </row>
    <row r="85" spans="1:9" ht="15.75" x14ac:dyDescent="0.25">
      <c r="A85" s="164"/>
      <c r="B85" s="165">
        <f>DATE(14,10,1)</f>
        <v>5388</v>
      </c>
      <c r="C85" s="226">
        <v>58469922.299999997</v>
      </c>
      <c r="D85" s="226">
        <v>5944105.7999999998</v>
      </c>
      <c r="E85" s="226">
        <v>5712648.2599999998</v>
      </c>
      <c r="F85" s="166">
        <f t="shared" si="18"/>
        <v>4.0516679736903677E-2</v>
      </c>
      <c r="G85" s="241">
        <f t="shared" si="19"/>
        <v>0.10166091498295013</v>
      </c>
      <c r="H85" s="242">
        <f t="shared" si="20"/>
        <v>0.89833908501704984</v>
      </c>
      <c r="I85" s="157"/>
    </row>
    <row r="86" spans="1:9" ht="15.75" x14ac:dyDescent="0.25">
      <c r="A86" s="164"/>
      <c r="B86" s="165">
        <f>DATE(14,11,1)</f>
        <v>5419</v>
      </c>
      <c r="C86" s="226">
        <v>56240335.280000001</v>
      </c>
      <c r="D86" s="226">
        <v>5844944.5199999996</v>
      </c>
      <c r="E86" s="226">
        <v>5648709.0099999998</v>
      </c>
      <c r="F86" s="166">
        <f t="shared" si="18"/>
        <v>3.4739886521433644E-2</v>
      </c>
      <c r="G86" s="241">
        <f t="shared" si="19"/>
        <v>0.10392798141938814</v>
      </c>
      <c r="H86" s="242">
        <f t="shared" si="20"/>
        <v>0.89607201858061192</v>
      </c>
      <c r="I86" s="157"/>
    </row>
    <row r="87" spans="1:9" ht="15.75" x14ac:dyDescent="0.25">
      <c r="A87" s="164"/>
      <c r="B87" s="165">
        <f>DATE(14,12,1)</f>
        <v>5449</v>
      </c>
      <c r="C87" s="226">
        <v>58600676.5</v>
      </c>
      <c r="D87" s="226">
        <v>6290788.3300000001</v>
      </c>
      <c r="E87" s="226">
        <v>5277704.1100000003</v>
      </c>
      <c r="F87" s="166">
        <f t="shared" si="18"/>
        <v>0.19195547891372783</v>
      </c>
      <c r="G87" s="241">
        <f t="shared" si="19"/>
        <v>0.10735009740032608</v>
      </c>
      <c r="H87" s="242">
        <f t="shared" si="20"/>
        <v>0.89264990259967392</v>
      </c>
      <c r="I87" s="157"/>
    </row>
    <row r="88" spans="1:9" ht="15.75" x14ac:dyDescent="0.25">
      <c r="A88" s="164"/>
      <c r="B88" s="165">
        <f>DATE(15,1,1)</f>
        <v>5480</v>
      </c>
      <c r="C88" s="226">
        <v>55789999.25</v>
      </c>
      <c r="D88" s="226">
        <v>6008621.5899999999</v>
      </c>
      <c r="E88" s="226">
        <v>5060424.4400000004</v>
      </c>
      <c r="F88" s="166">
        <f t="shared" si="18"/>
        <v>0.18737502382310037</v>
      </c>
      <c r="G88" s="241">
        <f t="shared" si="19"/>
        <v>0.10770069314887112</v>
      </c>
      <c r="H88" s="242">
        <f t="shared" si="20"/>
        <v>0.8922993068511289</v>
      </c>
      <c r="I88" s="157"/>
    </row>
    <row r="89" spans="1:9" ht="15.75" x14ac:dyDescent="0.25">
      <c r="A89" s="164"/>
      <c r="B89" s="165">
        <f>DATE(15,2,1)</f>
        <v>5511</v>
      </c>
      <c r="C89" s="226">
        <v>58570671.990000002</v>
      </c>
      <c r="D89" s="226">
        <v>6384718.5099999998</v>
      </c>
      <c r="E89" s="226">
        <v>5952357.54</v>
      </c>
      <c r="F89" s="166">
        <f t="shared" si="18"/>
        <v>7.2636928661378719E-2</v>
      </c>
      <c r="G89" s="241">
        <f t="shared" si="19"/>
        <v>0.10900879728834403</v>
      </c>
      <c r="H89" s="242">
        <f t="shared" si="20"/>
        <v>0.89099120271165599</v>
      </c>
      <c r="I89" s="157"/>
    </row>
    <row r="90" spans="1:9" ht="15.75" x14ac:dyDescent="0.25">
      <c r="A90" s="164"/>
      <c r="B90" s="165">
        <f>DATE(15,3,1)</f>
        <v>5539</v>
      </c>
      <c r="C90" s="226">
        <v>63376167.530000001</v>
      </c>
      <c r="D90" s="226">
        <v>6835787.04</v>
      </c>
      <c r="E90" s="226">
        <v>6992650.0300000003</v>
      </c>
      <c r="F90" s="166">
        <f t="shared" si="18"/>
        <v>-2.2432552655577448E-2</v>
      </c>
      <c r="G90" s="241">
        <f t="shared" si="19"/>
        <v>0.10786053032891559</v>
      </c>
      <c r="H90" s="242">
        <f t="shared" si="20"/>
        <v>0.89213946967108437</v>
      </c>
      <c r="I90" s="157"/>
    </row>
    <row r="91" spans="1:9" ht="15.75" thickBot="1" x14ac:dyDescent="0.25">
      <c r="A91" s="167"/>
      <c r="B91" s="165"/>
      <c r="C91" s="226"/>
      <c r="D91" s="226"/>
      <c r="E91" s="226"/>
      <c r="F91" s="166"/>
      <c r="G91" s="241"/>
      <c r="H91" s="242"/>
      <c r="I91" s="157"/>
    </row>
    <row r="92" spans="1:9" ht="17.25" thickTop="1" thickBot="1" x14ac:dyDescent="0.3">
      <c r="A92" s="174" t="s">
        <v>14</v>
      </c>
      <c r="B92" s="175"/>
      <c r="C92" s="228">
        <f>SUM(C82:C91)</f>
        <v>530887343.95999992</v>
      </c>
      <c r="D92" s="230">
        <f>SUM(D82:D91)</f>
        <v>54955838.579999998</v>
      </c>
      <c r="E92" s="273">
        <f>SUM(E82:E91)</f>
        <v>52709267.879999995</v>
      </c>
      <c r="F92" s="274">
        <f>(+D92-E92)/E92</f>
        <v>4.262192950800673E-2</v>
      </c>
      <c r="G92" s="249">
        <f>D92/C92</f>
        <v>0.10351694988634101</v>
      </c>
      <c r="H92" s="272">
        <f>1-G92</f>
        <v>0.89648305011365903</v>
      </c>
      <c r="I92" s="157"/>
    </row>
    <row r="93" spans="1:9" ht="15.75" thickTop="1" x14ac:dyDescent="0.2">
      <c r="A93" s="167"/>
      <c r="B93" s="168"/>
      <c r="C93" s="226"/>
      <c r="D93" s="226"/>
      <c r="E93" s="226"/>
      <c r="F93" s="166"/>
      <c r="G93" s="241"/>
      <c r="H93" s="242"/>
      <c r="I93" s="157"/>
    </row>
    <row r="94" spans="1:9" ht="15.75" x14ac:dyDescent="0.25">
      <c r="A94" s="164" t="s">
        <v>69</v>
      </c>
      <c r="B94" s="165">
        <f>DATE(14,7,1)</f>
        <v>5296</v>
      </c>
      <c r="C94" s="226">
        <v>104005398.62</v>
      </c>
      <c r="D94" s="226">
        <v>9639064.75</v>
      </c>
      <c r="E94" s="226">
        <v>9316238.5</v>
      </c>
      <c r="F94" s="166">
        <f t="shared" ref="F94:F102" si="21">(+D94-E94)/E94</f>
        <v>3.4651995008500483E-2</v>
      </c>
      <c r="G94" s="241">
        <f t="shared" ref="G94:G102" si="22">D94/C94</f>
        <v>9.2678503980527308E-2</v>
      </c>
      <c r="H94" s="242">
        <f t="shared" ref="H94:H102" si="23">1-G94</f>
        <v>0.90732149601947265</v>
      </c>
      <c r="I94" s="157"/>
    </row>
    <row r="95" spans="1:9" ht="15.75" x14ac:dyDescent="0.25">
      <c r="A95" s="164"/>
      <c r="B95" s="165">
        <f>DATE(14,8,1)</f>
        <v>5327</v>
      </c>
      <c r="C95" s="226">
        <v>107884157.59999999</v>
      </c>
      <c r="D95" s="226">
        <v>10229616.310000001</v>
      </c>
      <c r="E95" s="226">
        <v>9960399.3200000003</v>
      </c>
      <c r="F95" s="166">
        <f t="shared" si="21"/>
        <v>2.7028734627077201E-2</v>
      </c>
      <c r="G95" s="241">
        <f t="shared" si="22"/>
        <v>9.4820375276304714E-2</v>
      </c>
      <c r="H95" s="242">
        <f t="shared" si="23"/>
        <v>0.90517962472369529</v>
      </c>
      <c r="I95" s="157"/>
    </row>
    <row r="96" spans="1:9" ht="15.75" x14ac:dyDescent="0.25">
      <c r="A96" s="164"/>
      <c r="B96" s="165">
        <f>DATE(14,9,1)</f>
        <v>5358</v>
      </c>
      <c r="C96" s="226">
        <v>92232098.780000001</v>
      </c>
      <c r="D96" s="226">
        <v>9028912.8399999999</v>
      </c>
      <c r="E96" s="226">
        <v>9113118.4000000004</v>
      </c>
      <c r="F96" s="166">
        <f t="shared" si="21"/>
        <v>-9.2400379654894553E-3</v>
      </c>
      <c r="G96" s="241">
        <f t="shared" si="22"/>
        <v>9.7893390255994778E-2</v>
      </c>
      <c r="H96" s="242">
        <f t="shared" si="23"/>
        <v>0.90210660974400525</v>
      </c>
      <c r="I96" s="157"/>
    </row>
    <row r="97" spans="1:9" ht="15.75" x14ac:dyDescent="0.25">
      <c r="A97" s="164"/>
      <c r="B97" s="165">
        <f>DATE(14,10,1)</f>
        <v>5388</v>
      </c>
      <c r="C97" s="226">
        <v>93570671.549999997</v>
      </c>
      <c r="D97" s="226">
        <v>9235960.5399999991</v>
      </c>
      <c r="E97" s="226">
        <v>8872089.5999999996</v>
      </c>
      <c r="F97" s="166">
        <f t="shared" si="21"/>
        <v>4.1012992023885725E-2</v>
      </c>
      <c r="G97" s="241">
        <f t="shared" si="22"/>
        <v>9.8705720360943577E-2</v>
      </c>
      <c r="H97" s="242">
        <f t="shared" si="23"/>
        <v>0.90129427963905639</v>
      </c>
      <c r="I97" s="157"/>
    </row>
    <row r="98" spans="1:9" ht="15.75" x14ac:dyDescent="0.25">
      <c r="A98" s="164"/>
      <c r="B98" s="165">
        <f>DATE(14,11,1)</f>
        <v>5419</v>
      </c>
      <c r="C98" s="226">
        <v>84014906.010000005</v>
      </c>
      <c r="D98" s="226">
        <v>8289760.8700000001</v>
      </c>
      <c r="E98" s="226">
        <v>9320105.3000000007</v>
      </c>
      <c r="F98" s="166">
        <f t="shared" si="21"/>
        <v>-0.11055072843436657</v>
      </c>
      <c r="G98" s="241">
        <f t="shared" si="22"/>
        <v>9.8670120145266826E-2</v>
      </c>
      <c r="H98" s="242">
        <f t="shared" si="23"/>
        <v>0.90132987985473312</v>
      </c>
      <c r="I98" s="157"/>
    </row>
    <row r="99" spans="1:9" ht="15.75" x14ac:dyDescent="0.25">
      <c r="A99" s="164"/>
      <c r="B99" s="165">
        <f>DATE(14,12,1)</f>
        <v>5449</v>
      </c>
      <c r="C99" s="226">
        <v>88724625.790000007</v>
      </c>
      <c r="D99" s="226">
        <v>8425465.6099999994</v>
      </c>
      <c r="E99" s="226">
        <v>9209982.9600000009</v>
      </c>
      <c r="F99" s="166">
        <f t="shared" si="21"/>
        <v>-8.5181194515478384E-2</v>
      </c>
      <c r="G99" s="241">
        <f t="shared" si="22"/>
        <v>9.496197402896929E-2</v>
      </c>
      <c r="H99" s="242">
        <f t="shared" si="23"/>
        <v>0.90503802597103067</v>
      </c>
      <c r="I99" s="157"/>
    </row>
    <row r="100" spans="1:9" ht="15.75" x14ac:dyDescent="0.25">
      <c r="A100" s="164"/>
      <c r="B100" s="165">
        <f>DATE(15,1,1)</f>
        <v>5480</v>
      </c>
      <c r="C100" s="226">
        <v>87384212.359999999</v>
      </c>
      <c r="D100" s="226">
        <v>8451863.5700000003</v>
      </c>
      <c r="E100" s="226">
        <v>8053754.7400000002</v>
      </c>
      <c r="F100" s="166">
        <f t="shared" si="21"/>
        <v>4.9431456861076459E-2</v>
      </c>
      <c r="G100" s="241">
        <f t="shared" si="22"/>
        <v>9.6720715810546448E-2</v>
      </c>
      <c r="H100" s="242">
        <f t="shared" si="23"/>
        <v>0.90327928418945358</v>
      </c>
      <c r="I100" s="157"/>
    </row>
    <row r="101" spans="1:9" ht="15.75" x14ac:dyDescent="0.25">
      <c r="A101" s="164"/>
      <c r="B101" s="165">
        <f>DATE(15,2,1)</f>
        <v>5511</v>
      </c>
      <c r="C101" s="226">
        <v>95772974.040000007</v>
      </c>
      <c r="D101" s="226">
        <v>9072328.7699999996</v>
      </c>
      <c r="E101" s="226">
        <v>10021868.85</v>
      </c>
      <c r="F101" s="166">
        <f t="shared" si="21"/>
        <v>-9.474680762760132E-2</v>
      </c>
      <c r="G101" s="241">
        <f t="shared" si="22"/>
        <v>9.4727441232125689E-2</v>
      </c>
      <c r="H101" s="242">
        <f t="shared" si="23"/>
        <v>0.90527255876787427</v>
      </c>
      <c r="I101" s="157"/>
    </row>
    <row r="102" spans="1:9" ht="15.75" x14ac:dyDescent="0.25">
      <c r="A102" s="164"/>
      <c r="B102" s="165">
        <f>DATE(15,3,1)</f>
        <v>5539</v>
      </c>
      <c r="C102" s="226">
        <v>101626224.62</v>
      </c>
      <c r="D102" s="226">
        <v>9835373.5899999999</v>
      </c>
      <c r="E102" s="226">
        <v>9955259.6400000006</v>
      </c>
      <c r="F102" s="166">
        <f t="shared" si="21"/>
        <v>-1.204248350472964E-2</v>
      </c>
      <c r="G102" s="241">
        <f t="shared" si="22"/>
        <v>9.677987770161052E-2</v>
      </c>
      <c r="H102" s="242">
        <f t="shared" si="23"/>
        <v>0.90322012229838944</v>
      </c>
      <c r="I102" s="157"/>
    </row>
    <row r="103" spans="1:9" ht="15.75" thickBot="1" x14ac:dyDescent="0.25">
      <c r="A103" s="167"/>
      <c r="B103" s="165"/>
      <c r="C103" s="226"/>
      <c r="D103" s="226"/>
      <c r="E103" s="226"/>
      <c r="F103" s="166"/>
      <c r="G103" s="241"/>
      <c r="H103" s="242"/>
      <c r="I103" s="157"/>
    </row>
    <row r="104" spans="1:9" ht="17.25" thickTop="1" thickBot="1" x14ac:dyDescent="0.3">
      <c r="A104" s="174" t="s">
        <v>14</v>
      </c>
      <c r="B104" s="175"/>
      <c r="C104" s="228">
        <f>SUM(C94:C103)</f>
        <v>855215269.37</v>
      </c>
      <c r="D104" s="230">
        <f>SUM(D94:D103)</f>
        <v>82208346.849999994</v>
      </c>
      <c r="E104" s="273">
        <f>SUM(E94:E103)</f>
        <v>83822817.310000002</v>
      </c>
      <c r="F104" s="176">
        <f>(+D104-E104)/E104</f>
        <v>-1.9260512970224436E-2</v>
      </c>
      <c r="G104" s="249">
        <f>D104/C104</f>
        <v>9.6125910977430645E-2</v>
      </c>
      <c r="H104" s="272">
        <f>1-G104</f>
        <v>0.90387408902256938</v>
      </c>
      <c r="I104" s="157"/>
    </row>
    <row r="105" spans="1:9" ht="15.75" thickTop="1" x14ac:dyDescent="0.2">
      <c r="A105" s="167"/>
      <c r="B105" s="179"/>
      <c r="C105" s="229"/>
      <c r="D105" s="229"/>
      <c r="E105" s="229"/>
      <c r="F105" s="180"/>
      <c r="G105" s="247"/>
      <c r="H105" s="248"/>
      <c r="I105" s="157"/>
    </row>
    <row r="106" spans="1:9" ht="15.75" x14ac:dyDescent="0.25">
      <c r="A106" s="164" t="s">
        <v>18</v>
      </c>
      <c r="B106" s="165">
        <f>DATE(14,7,1)</f>
        <v>5296</v>
      </c>
      <c r="C106" s="226">
        <v>170865857.97999999</v>
      </c>
      <c r="D106" s="226">
        <v>15576345.16</v>
      </c>
      <c r="E106" s="226">
        <v>15123973.77</v>
      </c>
      <c r="F106" s="166">
        <f t="shared" ref="F106:F114" si="24">(+D106-E106)/E106</f>
        <v>2.9910881682255166E-2</v>
      </c>
      <c r="G106" s="241">
        <f t="shared" ref="G106:G114" si="25">D106/C106</f>
        <v>9.116124979060021E-2</v>
      </c>
      <c r="H106" s="242">
        <f t="shared" ref="H106:H114" si="26">1-G106</f>
        <v>0.90883875020939975</v>
      </c>
      <c r="I106" s="157"/>
    </row>
    <row r="107" spans="1:9" ht="15.75" x14ac:dyDescent="0.25">
      <c r="A107" s="164"/>
      <c r="B107" s="165">
        <f>DATE(14,8,1)</f>
        <v>5327</v>
      </c>
      <c r="C107" s="226">
        <v>169332893.02000001</v>
      </c>
      <c r="D107" s="226">
        <v>15506824.220000001</v>
      </c>
      <c r="E107" s="226">
        <v>16093372.800000001</v>
      </c>
      <c r="F107" s="166">
        <f t="shared" si="24"/>
        <v>-3.6446591232883144E-2</v>
      </c>
      <c r="G107" s="241">
        <f t="shared" si="25"/>
        <v>9.1575971705441073E-2</v>
      </c>
      <c r="H107" s="242">
        <f t="shared" si="26"/>
        <v>0.90842402829455893</v>
      </c>
      <c r="I107" s="157"/>
    </row>
    <row r="108" spans="1:9" ht="15.75" x14ac:dyDescent="0.25">
      <c r="A108" s="164"/>
      <c r="B108" s="165">
        <f>DATE(14,9,1)</f>
        <v>5358</v>
      </c>
      <c r="C108" s="226">
        <v>145865100.59999999</v>
      </c>
      <c r="D108" s="226">
        <v>12960092.390000001</v>
      </c>
      <c r="E108" s="226">
        <v>14433081.529999999</v>
      </c>
      <c r="F108" s="166">
        <f t="shared" si="24"/>
        <v>-0.10205645529946637</v>
      </c>
      <c r="G108" s="241">
        <f t="shared" si="25"/>
        <v>8.8849850558427548E-2</v>
      </c>
      <c r="H108" s="242">
        <f t="shared" si="26"/>
        <v>0.91115014944157247</v>
      </c>
      <c r="I108" s="157"/>
    </row>
    <row r="109" spans="1:9" ht="15.75" x14ac:dyDescent="0.25">
      <c r="A109" s="164"/>
      <c r="B109" s="165">
        <f>DATE(14,10,1)</f>
        <v>5388</v>
      </c>
      <c r="C109" s="226">
        <v>149099428.91</v>
      </c>
      <c r="D109" s="226">
        <v>13690052.84</v>
      </c>
      <c r="E109" s="226">
        <v>14186944.140000001</v>
      </c>
      <c r="F109" s="166">
        <f t="shared" si="24"/>
        <v>-3.5024547576741269E-2</v>
      </c>
      <c r="G109" s="241">
        <f t="shared" si="25"/>
        <v>9.18182781790777E-2</v>
      </c>
      <c r="H109" s="242">
        <f t="shared" si="26"/>
        <v>0.90818172182092227</v>
      </c>
      <c r="I109" s="157"/>
    </row>
    <row r="110" spans="1:9" ht="15.75" x14ac:dyDescent="0.25">
      <c r="A110" s="164"/>
      <c r="B110" s="165">
        <f>DATE(14,11,1)</f>
        <v>5419</v>
      </c>
      <c r="C110" s="226">
        <v>149890968.41</v>
      </c>
      <c r="D110" s="226">
        <v>12590815.699999999</v>
      </c>
      <c r="E110" s="226">
        <v>14454416.220000001</v>
      </c>
      <c r="F110" s="166">
        <f t="shared" si="24"/>
        <v>-0.12892949058858644</v>
      </c>
      <c r="G110" s="241">
        <f t="shared" si="25"/>
        <v>8.3999828899364165E-2</v>
      </c>
      <c r="H110" s="242">
        <f t="shared" si="26"/>
        <v>0.91600017110063581</v>
      </c>
      <c r="I110" s="157"/>
    </row>
    <row r="111" spans="1:9" ht="15.75" x14ac:dyDescent="0.25">
      <c r="A111" s="164"/>
      <c r="B111" s="165">
        <f>DATE(14,12,1)</f>
        <v>5449</v>
      </c>
      <c r="C111" s="226">
        <v>152739129.93000001</v>
      </c>
      <c r="D111" s="226">
        <v>13628228.800000001</v>
      </c>
      <c r="E111" s="226">
        <v>13901758.82</v>
      </c>
      <c r="F111" s="166">
        <f t="shared" si="24"/>
        <v>-1.967592903471185E-2</v>
      </c>
      <c r="G111" s="241">
        <f t="shared" si="25"/>
        <v>8.9225523323628902E-2</v>
      </c>
      <c r="H111" s="242">
        <f t="shared" si="26"/>
        <v>0.91077447667637113</v>
      </c>
      <c r="I111" s="157"/>
    </row>
    <row r="112" spans="1:9" ht="15.75" x14ac:dyDescent="0.25">
      <c r="A112" s="164"/>
      <c r="B112" s="165">
        <f>DATE(15,1,1)</f>
        <v>5480</v>
      </c>
      <c r="C112" s="226">
        <v>154335079</v>
      </c>
      <c r="D112" s="226">
        <v>14350682.710000001</v>
      </c>
      <c r="E112" s="226">
        <v>13381962.109999999</v>
      </c>
      <c r="F112" s="166">
        <f t="shared" si="24"/>
        <v>7.23900271153885E-2</v>
      </c>
      <c r="G112" s="241">
        <f t="shared" si="25"/>
        <v>9.2983933419310341E-2</v>
      </c>
      <c r="H112" s="242">
        <f t="shared" si="26"/>
        <v>0.90701606658068967</v>
      </c>
      <c r="I112" s="157"/>
    </row>
    <row r="113" spans="1:9" ht="15.75" x14ac:dyDescent="0.25">
      <c r="A113" s="164"/>
      <c r="B113" s="165">
        <f>DATE(15,2,1)</f>
        <v>5511</v>
      </c>
      <c r="C113" s="226">
        <v>148774481.44</v>
      </c>
      <c r="D113" s="226">
        <v>13664742.51</v>
      </c>
      <c r="E113" s="226">
        <v>14029700.050000001</v>
      </c>
      <c r="F113" s="166">
        <f t="shared" si="24"/>
        <v>-2.6013210453490841E-2</v>
      </c>
      <c r="G113" s="241">
        <f t="shared" si="25"/>
        <v>9.1848698632573778E-2</v>
      </c>
      <c r="H113" s="242">
        <f t="shared" si="26"/>
        <v>0.90815130136742628</v>
      </c>
      <c r="I113" s="157"/>
    </row>
    <row r="114" spans="1:9" ht="15.75" x14ac:dyDescent="0.25">
      <c r="A114" s="164"/>
      <c r="B114" s="165">
        <f>DATE(15,3,1)</f>
        <v>5539</v>
      </c>
      <c r="C114" s="226">
        <v>165764589.38999999</v>
      </c>
      <c r="D114" s="226">
        <v>15101656.65</v>
      </c>
      <c r="E114" s="226">
        <v>15783990.85</v>
      </c>
      <c r="F114" s="166">
        <f t="shared" si="24"/>
        <v>-4.3229510615181287E-2</v>
      </c>
      <c r="G114" s="241">
        <f t="shared" si="25"/>
        <v>9.110303174865543E-2</v>
      </c>
      <c r="H114" s="242">
        <f t="shared" si="26"/>
        <v>0.90889696825134458</v>
      </c>
      <c r="I114" s="157"/>
    </row>
    <row r="115" spans="1:9" ht="15.75" customHeight="1" thickBot="1" x14ac:dyDescent="0.3">
      <c r="A115" s="164"/>
      <c r="B115" s="165"/>
      <c r="C115" s="226"/>
      <c r="D115" s="226"/>
      <c r="E115" s="226"/>
      <c r="F115" s="166"/>
      <c r="G115" s="241"/>
      <c r="H115" s="242"/>
      <c r="I115" s="157"/>
    </row>
    <row r="116" spans="1:9" ht="17.25" thickTop="1" thickBot="1" x14ac:dyDescent="0.3">
      <c r="A116" s="174" t="s">
        <v>14</v>
      </c>
      <c r="B116" s="181"/>
      <c r="C116" s="228">
        <f>SUM(C106:C115)</f>
        <v>1406667528.6799998</v>
      </c>
      <c r="D116" s="228">
        <f>SUM(D106:D115)</f>
        <v>127069440.98</v>
      </c>
      <c r="E116" s="228">
        <f>SUM(E106:E115)</f>
        <v>131389200.28999999</v>
      </c>
      <c r="F116" s="176">
        <f>(+D116-E116)/E116</f>
        <v>-3.2877582788124811E-2</v>
      </c>
      <c r="G116" s="245">
        <f>D116/C116</f>
        <v>9.0333670458178889E-2</v>
      </c>
      <c r="H116" s="246">
        <f>1-G116</f>
        <v>0.90966632954182114</v>
      </c>
      <c r="I116" s="157"/>
    </row>
    <row r="117" spans="1:9" ht="15.75" thickTop="1" x14ac:dyDescent="0.2">
      <c r="A117" s="171"/>
      <c r="B117" s="172"/>
      <c r="C117" s="227"/>
      <c r="D117" s="227"/>
      <c r="E117" s="227"/>
      <c r="F117" s="173"/>
      <c r="G117" s="243"/>
      <c r="H117" s="244"/>
      <c r="I117" s="157"/>
    </row>
    <row r="118" spans="1:9" ht="15.75" x14ac:dyDescent="0.25">
      <c r="A118" s="164" t="s">
        <v>58</v>
      </c>
      <c r="B118" s="165">
        <f>DATE(14,7,1)</f>
        <v>5296</v>
      </c>
      <c r="C118" s="226">
        <v>178234462.90000001</v>
      </c>
      <c r="D118" s="226">
        <v>15819821.050000001</v>
      </c>
      <c r="E118" s="226">
        <v>14863761.060000001</v>
      </c>
      <c r="F118" s="166">
        <f t="shared" ref="F118:F126" si="27">(+D118-E118)/E118</f>
        <v>6.4321539221513846E-2</v>
      </c>
      <c r="G118" s="241">
        <f t="shared" ref="G118:G126" si="28">D118/C118</f>
        <v>8.8758485831529954E-2</v>
      </c>
      <c r="H118" s="242">
        <f t="shared" ref="H118:H126" si="29">1-G118</f>
        <v>0.91124151416846999</v>
      </c>
      <c r="I118" s="157"/>
    </row>
    <row r="119" spans="1:9" ht="15.75" x14ac:dyDescent="0.25">
      <c r="A119" s="164"/>
      <c r="B119" s="165">
        <f>DATE(14,8,1)</f>
        <v>5327</v>
      </c>
      <c r="C119" s="226">
        <v>191683237.99000001</v>
      </c>
      <c r="D119" s="226">
        <v>17009683.77</v>
      </c>
      <c r="E119" s="226">
        <v>16316843.810000001</v>
      </c>
      <c r="F119" s="166">
        <f t="shared" si="27"/>
        <v>4.2461640747911221E-2</v>
      </c>
      <c r="G119" s="241">
        <f t="shared" si="28"/>
        <v>8.873850394204727E-2</v>
      </c>
      <c r="H119" s="242">
        <f t="shared" si="29"/>
        <v>0.9112614960579527</v>
      </c>
      <c r="I119" s="157"/>
    </row>
    <row r="120" spans="1:9" ht="15.75" x14ac:dyDescent="0.25">
      <c r="A120" s="164"/>
      <c r="B120" s="165">
        <f>DATE(14,9,1)</f>
        <v>5358</v>
      </c>
      <c r="C120" s="226">
        <v>161926951.08000001</v>
      </c>
      <c r="D120" s="226">
        <v>14534184.859999999</v>
      </c>
      <c r="E120" s="226">
        <v>15465402.220000001</v>
      </c>
      <c r="F120" s="166">
        <f t="shared" si="27"/>
        <v>-6.0212941555166433E-2</v>
      </c>
      <c r="G120" s="241">
        <f t="shared" si="28"/>
        <v>8.9757663953169753E-2</v>
      </c>
      <c r="H120" s="242">
        <f t="shared" si="29"/>
        <v>0.91024233604683025</v>
      </c>
      <c r="I120" s="157"/>
    </row>
    <row r="121" spans="1:9" ht="15.75" x14ac:dyDescent="0.25">
      <c r="A121" s="164"/>
      <c r="B121" s="165">
        <f>DATE(14,10,1)</f>
        <v>5388</v>
      </c>
      <c r="C121" s="226">
        <v>171491689.16999999</v>
      </c>
      <c r="D121" s="226">
        <v>15429362.82</v>
      </c>
      <c r="E121" s="226">
        <v>15048636.17</v>
      </c>
      <c r="F121" s="166">
        <f t="shared" si="27"/>
        <v>2.5299744488407043E-2</v>
      </c>
      <c r="G121" s="241">
        <f t="shared" si="28"/>
        <v>8.9971490132707527E-2</v>
      </c>
      <c r="H121" s="242">
        <f t="shared" si="29"/>
        <v>0.91002850986729245</v>
      </c>
      <c r="I121" s="157"/>
    </row>
    <row r="122" spans="1:9" ht="15.75" x14ac:dyDescent="0.25">
      <c r="A122" s="164"/>
      <c r="B122" s="165">
        <f>DATE(14,11,1)</f>
        <v>5419</v>
      </c>
      <c r="C122" s="226">
        <v>163009625.74000001</v>
      </c>
      <c r="D122" s="226">
        <v>15452261.49</v>
      </c>
      <c r="E122" s="226">
        <v>15888829.390000001</v>
      </c>
      <c r="F122" s="166">
        <f t="shared" si="27"/>
        <v>-2.7476404289089061E-2</v>
      </c>
      <c r="G122" s="241">
        <f t="shared" si="28"/>
        <v>9.4793552343015147E-2</v>
      </c>
      <c r="H122" s="242">
        <f t="shared" si="29"/>
        <v>0.90520644765698488</v>
      </c>
      <c r="I122" s="157"/>
    </row>
    <row r="123" spans="1:9" ht="15.75" x14ac:dyDescent="0.25">
      <c r="A123" s="164"/>
      <c r="B123" s="165">
        <f>DATE(14,12,1)</f>
        <v>5449</v>
      </c>
      <c r="C123" s="226">
        <v>173179147.46000001</v>
      </c>
      <c r="D123" s="226">
        <v>15509961.32</v>
      </c>
      <c r="E123" s="226">
        <v>14692024.869999999</v>
      </c>
      <c r="F123" s="166">
        <f t="shared" si="27"/>
        <v>5.5672138948673122E-2</v>
      </c>
      <c r="G123" s="241">
        <f t="shared" si="28"/>
        <v>8.9560212921029697E-2</v>
      </c>
      <c r="H123" s="242">
        <f t="shared" si="29"/>
        <v>0.91043978707897033</v>
      </c>
      <c r="I123" s="157"/>
    </row>
    <row r="124" spans="1:9" ht="15.75" x14ac:dyDescent="0.25">
      <c r="A124" s="164"/>
      <c r="B124" s="165">
        <f>DATE(15,1,1)</f>
        <v>5480</v>
      </c>
      <c r="C124" s="226">
        <v>175411634.12</v>
      </c>
      <c r="D124" s="226">
        <v>15949660.58</v>
      </c>
      <c r="E124" s="226">
        <v>13981469.01</v>
      </c>
      <c r="F124" s="166">
        <f t="shared" si="27"/>
        <v>0.14077144315753129</v>
      </c>
      <c r="G124" s="241">
        <f t="shared" si="28"/>
        <v>9.0927039474980056E-2</v>
      </c>
      <c r="H124" s="242">
        <f t="shared" si="29"/>
        <v>0.90907296052501996</v>
      </c>
      <c r="I124" s="157"/>
    </row>
    <row r="125" spans="1:9" ht="15.75" x14ac:dyDescent="0.25">
      <c r="A125" s="164"/>
      <c r="B125" s="165">
        <f>DATE(15,2,1)</f>
        <v>5511</v>
      </c>
      <c r="C125" s="226">
        <v>171072765.69</v>
      </c>
      <c r="D125" s="226">
        <v>15158603.75</v>
      </c>
      <c r="E125" s="226">
        <v>14936500.92</v>
      </c>
      <c r="F125" s="166">
        <f t="shared" si="27"/>
        <v>1.4869803255098657E-2</v>
      </c>
      <c r="G125" s="241">
        <f t="shared" si="28"/>
        <v>8.8609099694271748E-2</v>
      </c>
      <c r="H125" s="242">
        <f t="shared" si="29"/>
        <v>0.91139090030572822</v>
      </c>
      <c r="I125" s="157"/>
    </row>
    <row r="126" spans="1:9" ht="15.75" x14ac:dyDescent="0.25">
      <c r="A126" s="164"/>
      <c r="B126" s="165">
        <f>DATE(15,3,1)</f>
        <v>5539</v>
      </c>
      <c r="C126" s="226">
        <v>192770110.15000001</v>
      </c>
      <c r="D126" s="226">
        <v>17456091.559999999</v>
      </c>
      <c r="E126" s="226">
        <v>17274804</v>
      </c>
      <c r="F126" s="166">
        <f t="shared" si="27"/>
        <v>1.0494333828621074E-2</v>
      </c>
      <c r="G126" s="241">
        <f t="shared" si="28"/>
        <v>9.0553932590570749E-2</v>
      </c>
      <c r="H126" s="242">
        <f t="shared" si="29"/>
        <v>0.90944606740942924</v>
      </c>
      <c r="I126" s="157"/>
    </row>
    <row r="127" spans="1:9" ht="15.75" thickBot="1" x14ac:dyDescent="0.25">
      <c r="A127" s="167"/>
      <c r="B127" s="168"/>
      <c r="C127" s="226"/>
      <c r="D127" s="226"/>
      <c r="E127" s="226"/>
      <c r="F127" s="166"/>
      <c r="G127" s="241"/>
      <c r="H127" s="242"/>
      <c r="I127" s="157"/>
    </row>
    <row r="128" spans="1:9" ht="17.25" thickTop="1" thickBot="1" x14ac:dyDescent="0.3">
      <c r="A128" s="174" t="s">
        <v>14</v>
      </c>
      <c r="B128" s="175"/>
      <c r="C128" s="228">
        <f>SUM(C118:C127)</f>
        <v>1578779624.3000002</v>
      </c>
      <c r="D128" s="228">
        <f>SUM(D118:D127)</f>
        <v>142319631.19999999</v>
      </c>
      <c r="E128" s="228">
        <f>SUM(E118:E127)</f>
        <v>138468271.45000002</v>
      </c>
      <c r="F128" s="176">
        <f>(+D128-E128)/E128</f>
        <v>2.7814023455840359E-2</v>
      </c>
      <c r="G128" s="249">
        <f>D128/C128</f>
        <v>9.0145343282538065E-2</v>
      </c>
      <c r="H128" s="272">
        <f>1-G128</f>
        <v>0.90985465671746191</v>
      </c>
      <c r="I128" s="157"/>
    </row>
    <row r="129" spans="1:9" ht="15.75" thickTop="1" x14ac:dyDescent="0.2">
      <c r="A129" s="167"/>
      <c r="B129" s="168"/>
      <c r="C129" s="226"/>
      <c r="D129" s="226"/>
      <c r="E129" s="226"/>
      <c r="F129" s="166"/>
      <c r="G129" s="241"/>
      <c r="H129" s="242"/>
      <c r="I129" s="157"/>
    </row>
    <row r="130" spans="1:9" ht="15.75" x14ac:dyDescent="0.25">
      <c r="A130" s="164" t="s">
        <v>59</v>
      </c>
      <c r="B130" s="165">
        <f>DATE(14,7,1)</f>
        <v>5296</v>
      </c>
      <c r="C130" s="226">
        <v>31233936.530000001</v>
      </c>
      <c r="D130" s="226">
        <v>2839788.24</v>
      </c>
      <c r="E130" s="226">
        <v>2770760.02</v>
      </c>
      <c r="F130" s="166">
        <f t="shared" ref="F130:F138" si="30">(+D130-E130)/E130</f>
        <v>2.4913099475139752E-2</v>
      </c>
      <c r="G130" s="241">
        <f t="shared" ref="G130:G138" si="31">D130/C130</f>
        <v>9.0919959361267233E-2</v>
      </c>
      <c r="H130" s="242">
        <f t="shared" ref="H130:H138" si="32">1-G130</f>
        <v>0.90908004063873271</v>
      </c>
      <c r="I130" s="157"/>
    </row>
    <row r="131" spans="1:9" ht="15.75" x14ac:dyDescent="0.25">
      <c r="A131" s="164"/>
      <c r="B131" s="165">
        <f>DATE(14,8,1)</f>
        <v>5327</v>
      </c>
      <c r="C131" s="226">
        <v>32336581.91</v>
      </c>
      <c r="D131" s="226">
        <v>3005400.13</v>
      </c>
      <c r="E131" s="226">
        <v>2848021.81</v>
      </c>
      <c r="F131" s="166">
        <f t="shared" si="30"/>
        <v>5.5258818400691891E-2</v>
      </c>
      <c r="G131" s="241">
        <f t="shared" si="31"/>
        <v>9.2941181549883845E-2</v>
      </c>
      <c r="H131" s="242">
        <f t="shared" si="32"/>
        <v>0.90705881845011616</v>
      </c>
      <c r="I131" s="157"/>
    </row>
    <row r="132" spans="1:9" ht="15.75" x14ac:dyDescent="0.25">
      <c r="A132" s="164"/>
      <c r="B132" s="165">
        <f>DATE(14,9,1)</f>
        <v>5358</v>
      </c>
      <c r="C132" s="226">
        <v>28267821.789999999</v>
      </c>
      <c r="D132" s="226">
        <v>2588664.34</v>
      </c>
      <c r="E132" s="226">
        <v>2655877.31</v>
      </c>
      <c r="F132" s="166">
        <f t="shared" si="30"/>
        <v>-2.5307257133801938E-2</v>
      </c>
      <c r="G132" s="241">
        <f t="shared" si="31"/>
        <v>9.1576364080367997E-2</v>
      </c>
      <c r="H132" s="242">
        <f t="shared" si="32"/>
        <v>0.90842363591963204</v>
      </c>
      <c r="I132" s="157"/>
    </row>
    <row r="133" spans="1:9" ht="15.75" x14ac:dyDescent="0.25">
      <c r="A133" s="164"/>
      <c r="B133" s="165">
        <f>DATE(14,10,1)</f>
        <v>5388</v>
      </c>
      <c r="C133" s="226">
        <v>29499561.73</v>
      </c>
      <c r="D133" s="226">
        <v>2779309.1</v>
      </c>
      <c r="E133" s="226">
        <v>2691489.37</v>
      </c>
      <c r="F133" s="166">
        <f t="shared" si="30"/>
        <v>3.2628674286757441E-2</v>
      </c>
      <c r="G133" s="241">
        <f t="shared" si="31"/>
        <v>9.4215267516111673E-2</v>
      </c>
      <c r="H133" s="242">
        <f t="shared" si="32"/>
        <v>0.90578473248388836</v>
      </c>
      <c r="I133" s="157"/>
    </row>
    <row r="134" spans="1:9" ht="15.75" x14ac:dyDescent="0.25">
      <c r="A134" s="164"/>
      <c r="B134" s="165">
        <f>DATE(14,11,1)</f>
        <v>5419</v>
      </c>
      <c r="C134" s="226">
        <v>28514071.559999999</v>
      </c>
      <c r="D134" s="226">
        <v>2575983.41</v>
      </c>
      <c r="E134" s="226">
        <v>2901304.87</v>
      </c>
      <c r="F134" s="166">
        <f t="shared" si="30"/>
        <v>-0.11212936060731872</v>
      </c>
      <c r="G134" s="241">
        <f t="shared" si="31"/>
        <v>9.0340778046360495E-2</v>
      </c>
      <c r="H134" s="242">
        <f t="shared" si="32"/>
        <v>0.90965922195363946</v>
      </c>
      <c r="I134" s="157"/>
    </row>
    <row r="135" spans="1:9" ht="15.75" x14ac:dyDescent="0.25">
      <c r="A135" s="164"/>
      <c r="B135" s="165">
        <f>DATE(14,12,1)</f>
        <v>5449</v>
      </c>
      <c r="C135" s="226">
        <v>30544702.699999999</v>
      </c>
      <c r="D135" s="226">
        <v>2806604.54</v>
      </c>
      <c r="E135" s="226">
        <v>2735774.77</v>
      </c>
      <c r="F135" s="166">
        <f t="shared" si="30"/>
        <v>2.5890205135563851E-2</v>
      </c>
      <c r="G135" s="241">
        <f t="shared" si="31"/>
        <v>9.1885148386138982E-2</v>
      </c>
      <c r="H135" s="242">
        <f t="shared" si="32"/>
        <v>0.90811485161386107</v>
      </c>
      <c r="I135" s="157"/>
    </row>
    <row r="136" spans="1:9" ht="15.75" x14ac:dyDescent="0.25">
      <c r="A136" s="164"/>
      <c r="B136" s="165">
        <f>DATE(15,1,1)</f>
        <v>5480</v>
      </c>
      <c r="C136" s="226">
        <v>27008092.989999998</v>
      </c>
      <c r="D136" s="226">
        <v>2544696.23</v>
      </c>
      <c r="E136" s="226">
        <v>2493519.96</v>
      </c>
      <c r="F136" s="166">
        <f t="shared" si="30"/>
        <v>2.0523705773744846E-2</v>
      </c>
      <c r="G136" s="241">
        <f t="shared" si="31"/>
        <v>9.4219767050646552E-2</v>
      </c>
      <c r="H136" s="242">
        <f t="shared" si="32"/>
        <v>0.90578023294935339</v>
      </c>
      <c r="I136" s="157"/>
    </row>
    <row r="137" spans="1:9" ht="15.75" x14ac:dyDescent="0.25">
      <c r="A137" s="164"/>
      <c r="B137" s="165">
        <f>DATE(15,2,1)</f>
        <v>5511</v>
      </c>
      <c r="C137" s="226">
        <v>27863557.050000001</v>
      </c>
      <c r="D137" s="226">
        <v>2707824.01</v>
      </c>
      <c r="E137" s="226">
        <v>2647555.77</v>
      </c>
      <c r="F137" s="166">
        <f t="shared" si="30"/>
        <v>2.276372822167208E-2</v>
      </c>
      <c r="G137" s="241">
        <f t="shared" si="31"/>
        <v>9.718156246673465E-2</v>
      </c>
      <c r="H137" s="242">
        <f t="shared" si="32"/>
        <v>0.90281843753326529</v>
      </c>
      <c r="I137" s="157"/>
    </row>
    <row r="138" spans="1:9" ht="15.75" x14ac:dyDescent="0.25">
      <c r="A138" s="164"/>
      <c r="B138" s="165">
        <f>DATE(15,3,1)</f>
        <v>5539</v>
      </c>
      <c r="C138" s="226">
        <v>33269475.920000002</v>
      </c>
      <c r="D138" s="226">
        <v>3177937.82</v>
      </c>
      <c r="E138" s="226">
        <v>3211883.94</v>
      </c>
      <c r="F138" s="166">
        <f t="shared" si="30"/>
        <v>-1.0568912399742598E-2</v>
      </c>
      <c r="G138" s="241">
        <f t="shared" si="31"/>
        <v>9.5521126561827721E-2</v>
      </c>
      <c r="H138" s="242">
        <f t="shared" si="32"/>
        <v>0.90447887343817224</v>
      </c>
      <c r="I138" s="157"/>
    </row>
    <row r="139" spans="1:9" ht="15.75" thickBot="1" x14ac:dyDescent="0.25">
      <c r="A139" s="167"/>
      <c r="B139" s="168"/>
      <c r="C139" s="226"/>
      <c r="D139" s="226"/>
      <c r="E139" s="226"/>
      <c r="F139" s="166"/>
      <c r="G139" s="241"/>
      <c r="H139" s="242"/>
      <c r="I139" s="157"/>
    </row>
    <row r="140" spans="1:9" ht="17.25" thickTop="1" thickBot="1" x14ac:dyDescent="0.3">
      <c r="A140" s="182" t="s">
        <v>14</v>
      </c>
      <c r="B140" s="183"/>
      <c r="C140" s="230">
        <f>SUM(C130:C139)</f>
        <v>268537802.18000001</v>
      </c>
      <c r="D140" s="230">
        <f>SUM(D130:D139)</f>
        <v>25026207.82</v>
      </c>
      <c r="E140" s="230">
        <f>SUM(E130:E139)</f>
        <v>24956187.820000004</v>
      </c>
      <c r="F140" s="176">
        <f>(+D140-E140)/E140</f>
        <v>2.8057169830995551E-3</v>
      </c>
      <c r="G140" s="249">
        <f>D140/C140</f>
        <v>9.3194357058247676E-2</v>
      </c>
      <c r="H140" s="246">
        <f>1-G140</f>
        <v>0.90680564294175237</v>
      </c>
      <c r="I140" s="157"/>
    </row>
    <row r="141" spans="1:9" ht="15.75" thickTop="1" x14ac:dyDescent="0.2">
      <c r="A141" s="167"/>
      <c r="B141" s="168"/>
      <c r="C141" s="226"/>
      <c r="D141" s="226"/>
      <c r="E141" s="226"/>
      <c r="F141" s="166"/>
      <c r="G141" s="241"/>
      <c r="H141" s="242"/>
      <c r="I141" s="157"/>
    </row>
    <row r="142" spans="1:9" ht="15.75" x14ac:dyDescent="0.25">
      <c r="A142" s="164" t="s">
        <v>40</v>
      </c>
      <c r="B142" s="165">
        <f>DATE(14,7,1)</f>
        <v>5296</v>
      </c>
      <c r="C142" s="226">
        <v>208794950.02000001</v>
      </c>
      <c r="D142" s="226">
        <v>19981616.239999998</v>
      </c>
      <c r="E142" s="226">
        <v>19237476.190000001</v>
      </c>
      <c r="F142" s="166">
        <f t="shared" ref="F142:F150" si="33">(+D142-E142)/E142</f>
        <v>3.8681791865547044E-2</v>
      </c>
      <c r="G142" s="241">
        <f t="shared" ref="G142:G150" si="34">D142/C142</f>
        <v>9.5699710352601927E-2</v>
      </c>
      <c r="H142" s="242">
        <f t="shared" ref="H142:H150" si="35">1-G142</f>
        <v>0.90430028964739806</v>
      </c>
      <c r="I142" s="157"/>
    </row>
    <row r="143" spans="1:9" ht="15.75" x14ac:dyDescent="0.25">
      <c r="A143" s="164"/>
      <c r="B143" s="165">
        <f>DATE(14,8,1)</f>
        <v>5327</v>
      </c>
      <c r="C143" s="226">
        <v>228005697.90000001</v>
      </c>
      <c r="D143" s="226">
        <v>21075262.02</v>
      </c>
      <c r="E143" s="226">
        <v>19934717.809999999</v>
      </c>
      <c r="F143" s="166">
        <f t="shared" si="33"/>
        <v>5.7213963140619994E-2</v>
      </c>
      <c r="G143" s="241">
        <f t="shared" si="34"/>
        <v>9.2433049761955086E-2</v>
      </c>
      <c r="H143" s="242">
        <f t="shared" si="35"/>
        <v>0.9075669502380449</v>
      </c>
      <c r="I143" s="157"/>
    </row>
    <row r="144" spans="1:9" ht="15.75" x14ac:dyDescent="0.25">
      <c r="A144" s="164"/>
      <c r="B144" s="165">
        <f>DATE(14,9,1)</f>
        <v>5358</v>
      </c>
      <c r="C144" s="226">
        <v>197202483.97</v>
      </c>
      <c r="D144" s="226">
        <v>17486814.219999999</v>
      </c>
      <c r="E144" s="226">
        <v>18326968.420000002</v>
      </c>
      <c r="F144" s="166">
        <f t="shared" si="33"/>
        <v>-4.5842508195908314E-2</v>
      </c>
      <c r="G144" s="241">
        <f t="shared" si="34"/>
        <v>8.8674411538650966E-2</v>
      </c>
      <c r="H144" s="242">
        <f t="shared" si="35"/>
        <v>0.91132558846134903</v>
      </c>
      <c r="I144" s="157"/>
    </row>
    <row r="145" spans="1:9" ht="15.75" x14ac:dyDescent="0.25">
      <c r="A145" s="164"/>
      <c r="B145" s="165">
        <f>DATE(14,10,1)</f>
        <v>5388</v>
      </c>
      <c r="C145" s="226">
        <v>205688352.40000001</v>
      </c>
      <c r="D145" s="226">
        <v>18422996.77</v>
      </c>
      <c r="E145" s="226">
        <v>18320631.43</v>
      </c>
      <c r="F145" s="166">
        <f t="shared" si="33"/>
        <v>5.5874351487895119E-3</v>
      </c>
      <c r="G145" s="241">
        <f t="shared" si="34"/>
        <v>8.9567525603846482E-2</v>
      </c>
      <c r="H145" s="242">
        <f t="shared" si="35"/>
        <v>0.91043247439615349</v>
      </c>
      <c r="I145" s="157"/>
    </row>
    <row r="146" spans="1:9" ht="15.75" x14ac:dyDescent="0.25">
      <c r="A146" s="164"/>
      <c r="B146" s="165">
        <f>DATE(14,11,1)</f>
        <v>5419</v>
      </c>
      <c r="C146" s="226">
        <v>201521217.16999999</v>
      </c>
      <c r="D146" s="226">
        <v>18567130.190000001</v>
      </c>
      <c r="E146" s="226">
        <v>19295010.93</v>
      </c>
      <c r="F146" s="166">
        <f t="shared" si="33"/>
        <v>-3.7723779615397107E-2</v>
      </c>
      <c r="G146" s="241">
        <f t="shared" si="34"/>
        <v>9.2134865255091597E-2</v>
      </c>
      <c r="H146" s="242">
        <f t="shared" si="35"/>
        <v>0.90786513474490838</v>
      </c>
      <c r="I146" s="157"/>
    </row>
    <row r="147" spans="1:9" ht="15.75" x14ac:dyDescent="0.25">
      <c r="A147" s="164"/>
      <c r="B147" s="165">
        <f>DATE(14,12,1)</f>
        <v>5449</v>
      </c>
      <c r="C147" s="226">
        <v>212810571.18000001</v>
      </c>
      <c r="D147" s="226">
        <v>19475406.190000001</v>
      </c>
      <c r="E147" s="226">
        <v>18347510.940000001</v>
      </c>
      <c r="F147" s="166">
        <f t="shared" si="33"/>
        <v>6.1474019756055258E-2</v>
      </c>
      <c r="G147" s="241">
        <f t="shared" si="34"/>
        <v>9.1515219765691339E-2</v>
      </c>
      <c r="H147" s="242">
        <f t="shared" si="35"/>
        <v>0.90848478023430868</v>
      </c>
      <c r="I147" s="157"/>
    </row>
    <row r="148" spans="1:9" ht="15.75" x14ac:dyDescent="0.25">
      <c r="A148" s="164"/>
      <c r="B148" s="165">
        <f>DATE(15,1,1)</f>
        <v>5480</v>
      </c>
      <c r="C148" s="226">
        <v>207323369.78</v>
      </c>
      <c r="D148" s="226">
        <v>19339756.989999998</v>
      </c>
      <c r="E148" s="226">
        <v>17394720.309999999</v>
      </c>
      <c r="F148" s="166">
        <f t="shared" si="33"/>
        <v>0.11181764612115226</v>
      </c>
      <c r="G148" s="241">
        <f t="shared" si="34"/>
        <v>9.3283053475940847E-2</v>
      </c>
      <c r="H148" s="242">
        <f t="shared" si="35"/>
        <v>0.90671694652405921</v>
      </c>
      <c r="I148" s="157"/>
    </row>
    <row r="149" spans="1:9" ht="15.75" x14ac:dyDescent="0.25">
      <c r="A149" s="164"/>
      <c r="B149" s="165">
        <f>DATE(15,2,1)</f>
        <v>5511</v>
      </c>
      <c r="C149" s="226">
        <v>197317216.28</v>
      </c>
      <c r="D149" s="226">
        <v>18327731.190000001</v>
      </c>
      <c r="E149" s="226">
        <v>18139656.100000001</v>
      </c>
      <c r="F149" s="166">
        <f t="shared" si="33"/>
        <v>1.0368172856375146E-2</v>
      </c>
      <c r="G149" s="241">
        <f t="shared" si="34"/>
        <v>9.2884602446409503E-2</v>
      </c>
      <c r="H149" s="242">
        <f t="shared" si="35"/>
        <v>0.9071153975535905</v>
      </c>
      <c r="I149" s="157"/>
    </row>
    <row r="150" spans="1:9" ht="15.75" x14ac:dyDescent="0.25">
      <c r="A150" s="164"/>
      <c r="B150" s="165">
        <f>DATE(15,3,1)</f>
        <v>5539</v>
      </c>
      <c r="C150" s="226">
        <v>224276485.34999999</v>
      </c>
      <c r="D150" s="226">
        <v>21149835.469999999</v>
      </c>
      <c r="E150" s="226">
        <v>21110329.34</v>
      </c>
      <c r="F150" s="166">
        <f t="shared" si="33"/>
        <v>1.8714123007613371E-3</v>
      </c>
      <c r="G150" s="241">
        <f t="shared" si="34"/>
        <v>9.4302509855164363E-2</v>
      </c>
      <c r="H150" s="242">
        <f t="shared" si="35"/>
        <v>0.90569749014483558</v>
      </c>
      <c r="I150" s="157"/>
    </row>
    <row r="151" spans="1:9" ht="15.75" thickBot="1" x14ac:dyDescent="0.25">
      <c r="A151" s="167"/>
      <c r="B151" s="168"/>
      <c r="C151" s="226"/>
      <c r="D151" s="226"/>
      <c r="E151" s="226"/>
      <c r="F151" s="166"/>
      <c r="G151" s="241"/>
      <c r="H151" s="242"/>
      <c r="I151" s="157"/>
    </row>
    <row r="152" spans="1:9" ht="17.25" thickTop="1" thickBot="1" x14ac:dyDescent="0.3">
      <c r="A152" s="174" t="s">
        <v>14</v>
      </c>
      <c r="B152" s="175"/>
      <c r="C152" s="228">
        <f>SUM(C142:C151)</f>
        <v>1882940344.0499997</v>
      </c>
      <c r="D152" s="228">
        <f>SUM(D142:D151)</f>
        <v>173826549.28</v>
      </c>
      <c r="E152" s="228">
        <f>SUM(E142:E151)</f>
        <v>170107021.47</v>
      </c>
      <c r="F152" s="176">
        <f>(+D152-E152)/E152</f>
        <v>2.1865809993363364E-2</v>
      </c>
      <c r="G152" s="245">
        <f>D152/C152</f>
        <v>9.2316546208850145E-2</v>
      </c>
      <c r="H152" s="246">
        <f>1-G152</f>
        <v>0.9076834537911499</v>
      </c>
      <c r="I152" s="157"/>
    </row>
    <row r="153" spans="1:9" ht="15.75" thickTop="1" x14ac:dyDescent="0.2">
      <c r="A153" s="167"/>
      <c r="B153" s="168"/>
      <c r="C153" s="226"/>
      <c r="D153" s="226"/>
      <c r="E153" s="226"/>
      <c r="F153" s="166"/>
      <c r="G153" s="241"/>
      <c r="H153" s="242"/>
      <c r="I153" s="157"/>
    </row>
    <row r="154" spans="1:9" ht="15.75" x14ac:dyDescent="0.25">
      <c r="A154" s="164" t="s">
        <v>64</v>
      </c>
      <c r="B154" s="165">
        <f>DATE(14,7,1)</f>
        <v>5296</v>
      </c>
      <c r="C154" s="226">
        <v>33610475.520000003</v>
      </c>
      <c r="D154" s="226">
        <v>3131194.84</v>
      </c>
      <c r="E154" s="226">
        <v>2870304.45</v>
      </c>
      <c r="F154" s="166">
        <f t="shared" ref="F154:F162" si="36">(+D154-E154)/E154</f>
        <v>9.0892932977893567E-2</v>
      </c>
      <c r="G154" s="241">
        <f t="shared" ref="G154:G162" si="37">D154/C154</f>
        <v>9.3161277594444453E-2</v>
      </c>
      <c r="H154" s="242">
        <f t="shared" ref="H154:H162" si="38">1-G154</f>
        <v>0.90683872240555552</v>
      </c>
      <c r="I154" s="157"/>
    </row>
    <row r="155" spans="1:9" ht="15.75" x14ac:dyDescent="0.25">
      <c r="A155" s="164"/>
      <c r="B155" s="165">
        <f>DATE(14,8,1)</f>
        <v>5327</v>
      </c>
      <c r="C155" s="226">
        <v>33728587.18</v>
      </c>
      <c r="D155" s="226">
        <v>3227301.46</v>
      </c>
      <c r="E155" s="226">
        <v>2938117.55</v>
      </c>
      <c r="F155" s="166">
        <f t="shared" si="36"/>
        <v>9.8424894538341454E-2</v>
      </c>
      <c r="G155" s="241">
        <f t="shared" si="37"/>
        <v>9.5684454340669481E-2</v>
      </c>
      <c r="H155" s="242">
        <f t="shared" si="38"/>
        <v>0.90431554565933048</v>
      </c>
      <c r="I155" s="157"/>
    </row>
    <row r="156" spans="1:9" ht="15.75" x14ac:dyDescent="0.25">
      <c r="A156" s="164"/>
      <c r="B156" s="165">
        <f>DATE(14,9,1)</f>
        <v>5358</v>
      </c>
      <c r="C156" s="226">
        <v>31509616.57</v>
      </c>
      <c r="D156" s="226">
        <v>2886113.88</v>
      </c>
      <c r="E156" s="226">
        <v>2795573.06</v>
      </c>
      <c r="F156" s="166">
        <f t="shared" si="36"/>
        <v>3.2387212945885174E-2</v>
      </c>
      <c r="G156" s="241">
        <f t="shared" si="37"/>
        <v>9.1594700100154219E-2</v>
      </c>
      <c r="H156" s="242">
        <f t="shared" si="38"/>
        <v>0.90840529989984575</v>
      </c>
      <c r="I156" s="157"/>
    </row>
    <row r="157" spans="1:9" ht="15.75" x14ac:dyDescent="0.25">
      <c r="A157" s="164"/>
      <c r="B157" s="165">
        <f>DATE(14,10,1)</f>
        <v>5388</v>
      </c>
      <c r="C157" s="226">
        <v>32479676.710000001</v>
      </c>
      <c r="D157" s="226">
        <v>2908095.78</v>
      </c>
      <c r="E157" s="226">
        <v>2890029.24</v>
      </c>
      <c r="F157" s="166">
        <f t="shared" si="36"/>
        <v>6.2513346750773949E-3</v>
      </c>
      <c r="G157" s="241">
        <f t="shared" si="37"/>
        <v>8.9535859792121669E-2</v>
      </c>
      <c r="H157" s="242">
        <f t="shared" si="38"/>
        <v>0.91046414020787836</v>
      </c>
      <c r="I157" s="157"/>
    </row>
    <row r="158" spans="1:9" ht="15.75" x14ac:dyDescent="0.25">
      <c r="A158" s="164"/>
      <c r="B158" s="165">
        <f>DATE(14,11,1)</f>
        <v>5419</v>
      </c>
      <c r="C158" s="226">
        <v>31271382.800000001</v>
      </c>
      <c r="D158" s="226">
        <v>2809592.69</v>
      </c>
      <c r="E158" s="226">
        <v>2745250.28</v>
      </c>
      <c r="F158" s="166">
        <f t="shared" si="36"/>
        <v>2.3437720949799942E-2</v>
      </c>
      <c r="G158" s="241">
        <f t="shared" si="37"/>
        <v>8.9845489339857393E-2</v>
      </c>
      <c r="H158" s="242">
        <f t="shared" si="38"/>
        <v>0.91015451066014263</v>
      </c>
      <c r="I158" s="157"/>
    </row>
    <row r="159" spans="1:9" ht="15.75" x14ac:dyDescent="0.25">
      <c r="A159" s="164"/>
      <c r="B159" s="165">
        <f>DATE(14,12,1)</f>
        <v>5449</v>
      </c>
      <c r="C159" s="226">
        <v>34628140.170000002</v>
      </c>
      <c r="D159" s="226">
        <v>2822057.08</v>
      </c>
      <c r="E159" s="226">
        <v>2746616.4</v>
      </c>
      <c r="F159" s="166">
        <f t="shared" si="36"/>
        <v>2.7466769658842847E-2</v>
      </c>
      <c r="G159" s="241">
        <f t="shared" si="37"/>
        <v>8.1496062628419241E-2</v>
      </c>
      <c r="H159" s="242">
        <f t="shared" si="38"/>
        <v>0.91850393737158076</v>
      </c>
      <c r="I159" s="157"/>
    </row>
    <row r="160" spans="1:9" ht="15.75" x14ac:dyDescent="0.25">
      <c r="A160" s="164"/>
      <c r="B160" s="165">
        <f>DATE(15,1,1)</f>
        <v>5480</v>
      </c>
      <c r="C160" s="226">
        <v>33183136.66</v>
      </c>
      <c r="D160" s="226">
        <v>3119187.16</v>
      </c>
      <c r="E160" s="226">
        <v>2799547.91</v>
      </c>
      <c r="F160" s="166">
        <f t="shared" si="36"/>
        <v>0.11417530982707846</v>
      </c>
      <c r="G160" s="241">
        <f t="shared" si="37"/>
        <v>9.3999165659344283E-2</v>
      </c>
      <c r="H160" s="242">
        <f t="shared" si="38"/>
        <v>0.9060008343406557</v>
      </c>
      <c r="I160" s="157"/>
    </row>
    <row r="161" spans="1:18" ht="15.75" x14ac:dyDescent="0.25">
      <c r="A161" s="164"/>
      <c r="B161" s="165">
        <f>DATE(15,2,1)</f>
        <v>5511</v>
      </c>
      <c r="C161" s="226">
        <v>34590273.700000003</v>
      </c>
      <c r="D161" s="226">
        <v>3161181.44</v>
      </c>
      <c r="E161" s="226">
        <v>3141992.72</v>
      </c>
      <c r="F161" s="166">
        <f t="shared" si="36"/>
        <v>6.1071815596058215E-3</v>
      </c>
      <c r="G161" s="241">
        <f t="shared" si="37"/>
        <v>9.1389315604056637E-2</v>
      </c>
      <c r="H161" s="242">
        <f t="shared" si="38"/>
        <v>0.90861068439594339</v>
      </c>
      <c r="I161" s="157"/>
    </row>
    <row r="162" spans="1:18" ht="15.75" x14ac:dyDescent="0.25">
      <c r="A162" s="164"/>
      <c r="B162" s="165">
        <f>DATE(15,3,1)</f>
        <v>5539</v>
      </c>
      <c r="C162" s="226">
        <v>38846963.630000003</v>
      </c>
      <c r="D162" s="226">
        <v>3489638.16</v>
      </c>
      <c r="E162" s="226">
        <v>3374540.99</v>
      </c>
      <c r="F162" s="166">
        <f t="shared" si="36"/>
        <v>3.4107503906775756E-2</v>
      </c>
      <c r="G162" s="241">
        <f t="shared" si="37"/>
        <v>8.9830396868008699E-2</v>
      </c>
      <c r="H162" s="242">
        <f t="shared" si="38"/>
        <v>0.91016960313199124</v>
      </c>
      <c r="I162" s="157"/>
    </row>
    <row r="163" spans="1:18" ht="15.75" thickBot="1" x14ac:dyDescent="0.25">
      <c r="A163" s="167"/>
      <c r="B163" s="168"/>
      <c r="C163" s="226"/>
      <c r="D163" s="226"/>
      <c r="E163" s="226"/>
      <c r="F163" s="166"/>
      <c r="G163" s="241"/>
      <c r="H163" s="242"/>
      <c r="I163" s="157"/>
    </row>
    <row r="164" spans="1:18" ht="17.25" thickTop="1" thickBot="1" x14ac:dyDescent="0.3">
      <c r="A164" s="169" t="s">
        <v>14</v>
      </c>
      <c r="B164" s="155"/>
      <c r="C164" s="223">
        <f>SUM(C154:C163)</f>
        <v>303848252.94000006</v>
      </c>
      <c r="D164" s="223">
        <f>SUM(D154:D163)</f>
        <v>27554362.489999998</v>
      </c>
      <c r="E164" s="223">
        <f>SUM(E154:E163)</f>
        <v>26301972.600000001</v>
      </c>
      <c r="F164" s="176">
        <f>(+D164-E164)/E164</f>
        <v>4.7615816085216242E-2</v>
      </c>
      <c r="G164" s="245">
        <f>D164/C164</f>
        <v>9.0684617151447211E-2</v>
      </c>
      <c r="H164" s="246">
        <f>1-G164</f>
        <v>0.90931538284855273</v>
      </c>
      <c r="I164" s="157"/>
    </row>
    <row r="165" spans="1:18" ht="16.5" thickTop="1" thickBot="1" x14ac:dyDescent="0.25">
      <c r="A165" s="171"/>
      <c r="B165" s="172"/>
      <c r="C165" s="227"/>
      <c r="D165" s="227"/>
      <c r="E165" s="227"/>
      <c r="F165" s="173"/>
      <c r="G165" s="243"/>
      <c r="H165" s="244"/>
      <c r="I165" s="157"/>
    </row>
    <row r="166" spans="1:18" ht="17.25" thickTop="1" thickBot="1" x14ac:dyDescent="0.3">
      <c r="A166" s="184" t="s">
        <v>41</v>
      </c>
      <c r="B166" s="155"/>
      <c r="C166" s="223">
        <f>C164+C152+C116+C92+C68+C44+C20+C56+C140+C32+C104+C128+C80</f>
        <v>11668063671.770002</v>
      </c>
      <c r="D166" s="223">
        <f>D164+D152+D116+D92+D68+D44+D20+D56+D140+D32+D104+D128+D80</f>
        <v>1092430500.1300001</v>
      </c>
      <c r="E166" s="223">
        <f>E164+E152+E116+E92+E68+E44+E20+E56+E140+E32+E104+E128+E80</f>
        <v>1086230311.01</v>
      </c>
      <c r="F166" s="170">
        <f>(+D166-E166)/E166</f>
        <v>5.7079875760740429E-3</v>
      </c>
      <c r="G166" s="236">
        <f>D166/C166</f>
        <v>9.362568896268994E-2</v>
      </c>
      <c r="H166" s="237">
        <f>1-G166</f>
        <v>0.90637431103731003</v>
      </c>
      <c r="I166" s="157"/>
    </row>
    <row r="167" spans="1:18" ht="17.25" thickTop="1" thickBot="1" x14ac:dyDescent="0.3">
      <c r="A167" s="184"/>
      <c r="B167" s="155"/>
      <c r="C167" s="223"/>
      <c r="D167" s="223"/>
      <c r="E167" s="223"/>
      <c r="F167" s="170"/>
      <c r="G167" s="236"/>
      <c r="H167" s="237"/>
      <c r="I167" s="157"/>
    </row>
    <row r="168" spans="1:18" ht="17.25" thickTop="1" thickBot="1" x14ac:dyDescent="0.3">
      <c r="A168" s="184" t="s">
        <v>42</v>
      </c>
      <c r="B168" s="155"/>
      <c r="C168" s="223">
        <f>+C18+C30+C42+C54+C66+C78+C90+C102+C114+C126+C138+C150+C162</f>
        <v>1394452988.9400001</v>
      </c>
      <c r="D168" s="223">
        <f>+D18+D30+D42+D54+D66+D78+D90+D102+D114+D126+D138+D150+D162</f>
        <v>132781475.37</v>
      </c>
      <c r="E168" s="223">
        <f>+E18+E30+E42+E54+E66+E78+E90+E102+E114+E126+E138+E150+E162</f>
        <v>132907825.51999998</v>
      </c>
      <c r="F168" s="170">
        <f>(+D168-E168)/E168</f>
        <v>-9.5065997435164556E-4</v>
      </c>
      <c r="G168" s="236">
        <f>D168/C168</f>
        <v>9.5221191695343183E-2</v>
      </c>
      <c r="H168" s="246">
        <f>1-G168</f>
        <v>0.90477880830465685</v>
      </c>
      <c r="I168" s="157"/>
    </row>
    <row r="169" spans="1:18" ht="16.5" thickTop="1" x14ac:dyDescent="0.25">
      <c r="A169" s="185"/>
      <c r="B169" s="186"/>
      <c r="C169" s="231"/>
      <c r="D169" s="231"/>
      <c r="E169" s="231"/>
      <c r="F169" s="187"/>
      <c r="G169" s="250"/>
      <c r="H169" s="250"/>
      <c r="I169" s="151"/>
    </row>
    <row r="170" spans="1:18" s="3" customFormat="1" ht="15.75" x14ac:dyDescent="0.25">
      <c r="A170" s="256" t="s">
        <v>70</v>
      </c>
      <c r="B170" s="258"/>
      <c r="C170" s="259"/>
      <c r="D170" s="259"/>
      <c r="E170" s="259"/>
      <c r="F170" s="260"/>
      <c r="G170" s="257"/>
      <c r="H170" s="257"/>
      <c r="I170" s="261"/>
      <c r="J170" s="261"/>
      <c r="K170" s="262"/>
      <c r="L170" s="262"/>
      <c r="M170" s="261"/>
      <c r="R170" s="2"/>
    </row>
    <row r="171" spans="1:18" ht="16.5" customHeight="1" x14ac:dyDescent="0.3">
      <c r="A171" s="188" t="s">
        <v>52</v>
      </c>
      <c r="B171" s="189"/>
      <c r="C171" s="232"/>
      <c r="D171" s="232"/>
      <c r="E171" s="232"/>
      <c r="F171" s="190"/>
      <c r="G171" s="251"/>
      <c r="H171" s="251"/>
      <c r="I171" s="151"/>
    </row>
    <row r="172" spans="1:18" ht="15.75" x14ac:dyDescent="0.25">
      <c r="A172" s="191"/>
      <c r="B172" s="189"/>
      <c r="C172" s="232"/>
      <c r="D172" s="232"/>
      <c r="E172" s="232"/>
      <c r="F172" s="190"/>
      <c r="G172" s="257"/>
      <c r="H172" s="257"/>
      <c r="I172" s="151"/>
    </row>
    <row r="173" spans="1:18" ht="15.75" x14ac:dyDescent="0.25">
      <c r="A173" s="72"/>
      <c r="I173" s="151"/>
    </row>
  </sheetData>
  <phoneticPr fontId="0" type="noConversion"/>
  <printOptions horizontalCentered="1"/>
  <pageMargins left="0.75" right="0.25" top="0.31940000000000002" bottom="0.2" header="0.5" footer="0.5"/>
  <pageSetup scale="63" orientation="landscape" r:id="rId1"/>
  <headerFooter alignWithMargins="0"/>
  <rowBreaks count="3" manualBreakCount="3">
    <brk id="56" max="8" man="1"/>
    <brk id="104" max="8" man="1"/>
    <brk id="1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MONTHLY STATS</vt:lpstr>
      <vt:lpstr>YTD TAXES</vt:lpstr>
      <vt:lpstr>TABLE STATS</vt:lpstr>
      <vt:lpstr>SLOT STATS</vt:lpstr>
      <vt:lpstr>'MONTHLY STATS'!Print_Area</vt:lpstr>
      <vt:lpstr>'SLOT STATS'!Print_Area</vt:lpstr>
      <vt:lpstr>'TABLE STATS'!Print_Area</vt:lpstr>
      <vt:lpstr>'MONTHLY STATS'!Print_Titles</vt:lpstr>
      <vt:lpstr>'SLOT STATS'!Print_Titles</vt:lpstr>
      <vt:lpstr>'TABLE STATS'!Print_Titles</vt:lpstr>
    </vt:vector>
  </TitlesOfParts>
  <Company>MGC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Bruns</dc:creator>
  <cp:lastModifiedBy>webteam-prod</cp:lastModifiedBy>
  <cp:lastPrinted>2015-04-09T19:47:01Z</cp:lastPrinted>
  <dcterms:created xsi:type="dcterms:W3CDTF">2003-09-09T14:41:43Z</dcterms:created>
  <dcterms:modified xsi:type="dcterms:W3CDTF">2015-04-09T19:47:18Z</dcterms:modified>
</cp:coreProperties>
</file>