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STATS'!$A$1:$M$196</definedName>
    <definedName name="_xlnm.Print_Area" localSheetId="3">'SLOT STATS'!$A$1:$I$197</definedName>
    <definedName name="_xlnm.Print_Area" localSheetId="2">'TABLE STATS'!$A$1:$H$196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<sst xmlns="http://schemas.openxmlformats.org/spreadsheetml/2006/main" count="196" uniqueCount="77">
  <si>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</si>
  <si>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</si>
  <si>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</si>
  <si>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</si>
  <si>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</si>
  <si>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</si>
  <si>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</si>
  <si>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</si>
  <si>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</si>
  <si>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</si>
  <si>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</si>
  <si>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</si>
  <si>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</si>
  <si>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</si>
  <si>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</si>
  <si>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</si>
  <si>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</si>
  <si>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</si>
  <si>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</si>
  <si>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</si>
  <si>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</si>
  <si>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</si>
  <si>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</si>
  <si>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</si>
  <si>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</si>
  <si>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</si>
  <si>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</si>
  <si>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</si>
  <si>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</si>
  <si>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</si>
  <si>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</si>
  <si>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</si>
  <si>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</si>
  <si>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</si>
  <si>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</si>
  <si>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</si>
  <si>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</si>
  <si>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</si>
  <si>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</si>
  <si>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</si>
  <si>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</si>
  <si>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</si>
  <si>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</si>
  <si>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</si>
  <si>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</si>
  <si>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</si>
  <si>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</si>
  <si>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</si>
  <si>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</si>
  <si>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</si>
  <si>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</si>
  <si>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</si>
  <si>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</si>
  <si>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</si>
  <si>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</si>
  <si>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</si>
  <si>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</si>
  <si>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</si>
  <si>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</si>
  <si>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</si>
  <si>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</si>
  <si>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</si>
  <si>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</si>
  <si>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</si>
  <si>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</si>
  <si>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>Lumiere Place was purchased by Tropicana 4/1/14</t>
  </si>
  <si>
    <t xml:space="preserve">FISCAL 2015 YTD ADMISSIONS, PATRONS AND AGR SUMMARY </t>
  </si>
  <si>
    <t xml:space="preserve">HOLLYWOOD </t>
  </si>
  <si>
    <t xml:space="preserve">IOC - CAPE GIRARDEAU </t>
  </si>
  <si>
    <t>LUMIERE PLACE *</t>
  </si>
  <si>
    <t>* Lumiere Place was purchased by Tropicana 4/1/14</t>
  </si>
  <si>
    <t>MONTH ENDED:   MAY 31, 2015</t>
  </si>
  <si>
    <t>(as reported on the tax remittal database dtd 6/9/15)</t>
  </si>
  <si>
    <t>FOR THE MONTH ENDED:   MAY 31, 2015</t>
  </si>
  <si>
    <t>THRU MONTH ENDED:   MAY 31, 2015</t>
  </si>
  <si>
    <t>(as reported on the tax remittal database as of 6/9/15)</t>
  </si>
  <si>
    <t>THRU MONTH ENDED:     MAY 31,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</si>
</sst>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0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4" fontId="0" fillId="0" borderId="0" xfId="55" applyNumberFormat="1" applyFont="1" applyBorder="1" applyAlignment="1">
      <alignment horizontal="center"/>
      <protection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6"/>
  <sheetViews>
    <sheetView tabSelected="1" showOutlineSymbols="0" workbookViewId="0" topLeftCell="A1">
      <selection activeCell="A4" sqref="A4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66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80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81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DATE(2014,7,1)</f>
        <v>41821</v>
      </c>
      <c r="C9" s="21">
        <v>267164</v>
      </c>
      <c r="D9" s="22">
        <v>319716</v>
      </c>
      <c r="E9" s="23">
        <f aca="true" t="shared" si="0" ref="E9:E19">(+C9-D9)/D9</f>
        <v>-0.16437087915525028</v>
      </c>
      <c r="F9" s="21">
        <f>+C9-127421</f>
        <v>139743</v>
      </c>
      <c r="G9" s="21">
        <f>+D9-157523</f>
        <v>162193</v>
      </c>
      <c r="H9" s="23">
        <f aca="true" t="shared" si="1" ref="H9:H19">(+F9-G9)/G9</f>
        <v>-0.138415344681953</v>
      </c>
      <c r="I9" s="24">
        <f aca="true" t="shared" si="2" ref="I9:I19">K9/C9</f>
        <v>41.706116130915845</v>
      </c>
      <c r="J9" s="24">
        <f aca="true" t="shared" si="3" ref="J9:J19">K9/F9</f>
        <v>79.73474742920934</v>
      </c>
      <c r="K9" s="21">
        <v>11142372.81</v>
      </c>
      <c r="L9" s="21">
        <v>12552374.44</v>
      </c>
      <c r="M9" s="25">
        <f aca="true" t="shared" si="4" ref="M9:M19">(+K9-L9)/L9</f>
        <v>-0.11232947493239367</v>
      </c>
      <c r="N9" s="10"/>
      <c r="R9" s="2"/>
    </row>
    <row r="10" spans="1:18" ht="15.75">
      <c r="A10" s="19"/>
      <c r="B10" s="20">
        <f>DATE(2014,8,1)</f>
        <v>41852</v>
      </c>
      <c r="C10" s="21">
        <v>277665</v>
      </c>
      <c r="D10" s="22">
        <v>316432</v>
      </c>
      <c r="E10" s="23">
        <f t="shared" si="0"/>
        <v>-0.12251289376548516</v>
      </c>
      <c r="F10" s="21">
        <f>+C10-135151</f>
        <v>142514</v>
      </c>
      <c r="G10" s="21">
        <f>+D10-153574</f>
        <v>162858</v>
      </c>
      <c r="H10" s="23">
        <f t="shared" si="1"/>
        <v>-0.12491864077908361</v>
      </c>
      <c r="I10" s="24">
        <f t="shared" si="2"/>
        <v>43.81201310932238</v>
      </c>
      <c r="J10" s="24">
        <f t="shared" si="3"/>
        <v>85.36047419902606</v>
      </c>
      <c r="K10" s="21">
        <v>12165062.62</v>
      </c>
      <c r="L10" s="21">
        <v>12621243.43</v>
      </c>
      <c r="M10" s="25">
        <f t="shared" si="4"/>
        <v>-0.036143888082824226</v>
      </c>
      <c r="N10" s="10"/>
      <c r="R10" s="2"/>
    </row>
    <row r="11" spans="1:18" ht="15.75">
      <c r="A11" s="19"/>
      <c r="B11" s="20">
        <f>DATE(2014,9,1)</f>
        <v>41883</v>
      </c>
      <c r="C11" s="21">
        <v>248158</v>
      </c>
      <c r="D11" s="22">
        <v>282340</v>
      </c>
      <c r="E11" s="23">
        <f t="shared" si="0"/>
        <v>-0.12106679889494935</v>
      </c>
      <c r="F11" s="21">
        <f>+C11-120172</f>
        <v>127986</v>
      </c>
      <c r="G11" s="21">
        <f>+D11-139729</f>
        <v>142611</v>
      </c>
      <c r="H11" s="23">
        <f t="shared" si="1"/>
        <v>-0.10255169657319561</v>
      </c>
      <c r="I11" s="24">
        <f t="shared" si="2"/>
        <v>42.82724030657888</v>
      </c>
      <c r="J11" s="24">
        <f t="shared" si="3"/>
        <v>83.03972543871987</v>
      </c>
      <c r="K11" s="21">
        <v>10627922.3</v>
      </c>
      <c r="L11" s="21">
        <v>11333373.29</v>
      </c>
      <c r="M11" s="25">
        <f t="shared" si="4"/>
        <v>-0.0622454561363873</v>
      </c>
      <c r="N11" s="10"/>
      <c r="R11" s="2"/>
    </row>
    <row r="12" spans="1:18" ht="15.75">
      <c r="A12" s="19"/>
      <c r="B12" s="20">
        <f>DATE(2014,10,1)</f>
        <v>41913</v>
      </c>
      <c r="C12" s="21">
        <v>266065</v>
      </c>
      <c r="D12" s="22">
        <v>268334</v>
      </c>
      <c r="E12" s="23">
        <f t="shared" si="0"/>
        <v>-0.00845587961272146</v>
      </c>
      <c r="F12" s="21">
        <f>+C12-128901</f>
        <v>137164</v>
      </c>
      <c r="G12" s="21">
        <f>D12-130186</f>
        <v>138148</v>
      </c>
      <c r="H12" s="23">
        <f t="shared" si="1"/>
        <v>-0.0071227958421403136</v>
      </c>
      <c r="I12" s="24">
        <f t="shared" si="2"/>
        <v>43.084435495085785</v>
      </c>
      <c r="J12" s="24">
        <f t="shared" si="3"/>
        <v>83.57338900877781</v>
      </c>
      <c r="K12" s="21">
        <v>11463260.33</v>
      </c>
      <c r="L12" s="21">
        <v>11127847.37</v>
      </c>
      <c r="M12" s="25">
        <f t="shared" si="4"/>
        <v>0.030141764965635122</v>
      </c>
      <c r="N12" s="10"/>
      <c r="R12" s="2"/>
    </row>
    <row r="13" spans="1:18" ht="15.75">
      <c r="A13" s="19"/>
      <c r="B13" s="20">
        <f>DATE(2014,11,1)</f>
        <v>41944</v>
      </c>
      <c r="C13" s="21">
        <v>269524</v>
      </c>
      <c r="D13" s="22">
        <v>267883</v>
      </c>
      <c r="E13" s="23">
        <f t="shared" si="0"/>
        <v>0.006125808655271145</v>
      </c>
      <c r="F13" s="21">
        <f>C13-132202</f>
        <v>137322</v>
      </c>
      <c r="G13" s="21">
        <f>D13-131464</f>
        <v>136419</v>
      </c>
      <c r="H13" s="23">
        <f t="shared" si="1"/>
        <v>0.006619312559101005</v>
      </c>
      <c r="I13" s="24">
        <f t="shared" si="2"/>
        <v>42.689039306332646</v>
      </c>
      <c r="J13" s="24">
        <f t="shared" si="3"/>
        <v>83.78643356490585</v>
      </c>
      <c r="K13" s="21">
        <v>11505720.63</v>
      </c>
      <c r="L13" s="21">
        <v>11700907.26</v>
      </c>
      <c r="M13" s="25">
        <f t="shared" si="4"/>
        <v>-0.016681324418940737</v>
      </c>
      <c r="N13" s="10"/>
      <c r="R13" s="2"/>
    </row>
    <row r="14" spans="1:18" ht="15.75">
      <c r="A14" s="19"/>
      <c r="B14" s="20">
        <f>DATE(2014,12,1)</f>
        <v>41974</v>
      </c>
      <c r="C14" s="21">
        <v>280201</v>
      </c>
      <c r="D14" s="22">
        <v>255863</v>
      </c>
      <c r="E14" s="23">
        <f t="shared" si="0"/>
        <v>0.09512121721389963</v>
      </c>
      <c r="F14" s="21">
        <f>+C14-136103</f>
        <v>144098</v>
      </c>
      <c r="G14" s="21">
        <f>+D14-125410</f>
        <v>130453</v>
      </c>
      <c r="H14" s="23">
        <f t="shared" si="1"/>
        <v>0.10459705794424046</v>
      </c>
      <c r="I14" s="24">
        <f t="shared" si="2"/>
        <v>42.18454480890504</v>
      </c>
      <c r="J14" s="24">
        <f t="shared" si="3"/>
        <v>82.0285613957168</v>
      </c>
      <c r="K14" s="21">
        <v>11820151.64</v>
      </c>
      <c r="L14" s="21">
        <v>11102489.22</v>
      </c>
      <c r="M14" s="25">
        <f t="shared" si="4"/>
        <v>0.06463977634017463</v>
      </c>
      <c r="N14" s="10"/>
      <c r="R14" s="2"/>
    </row>
    <row r="15" spans="1:18" ht="15.75">
      <c r="A15" s="19"/>
      <c r="B15" s="20">
        <f>DATE(2015,1,1)</f>
        <v>42005</v>
      </c>
      <c r="C15" s="21">
        <v>279762</v>
      </c>
      <c r="D15" s="22">
        <v>265052</v>
      </c>
      <c r="E15" s="23">
        <f t="shared" si="0"/>
        <v>0.05549854368199448</v>
      </c>
      <c r="F15" s="21">
        <f>+C15-136377</f>
        <v>143385</v>
      </c>
      <c r="G15" s="21">
        <f>+D15-130987</f>
        <v>134065</v>
      </c>
      <c r="H15" s="23">
        <f t="shared" si="1"/>
        <v>0.06951851713720957</v>
      </c>
      <c r="I15" s="24">
        <f t="shared" si="2"/>
        <v>42.26406277478714</v>
      </c>
      <c r="J15" s="24">
        <f t="shared" si="3"/>
        <v>82.46245234857203</v>
      </c>
      <c r="K15" s="21">
        <v>11823878.73</v>
      </c>
      <c r="L15" s="21">
        <v>11306237.27</v>
      </c>
      <c r="M15" s="25">
        <f t="shared" si="4"/>
        <v>0.045783707491573004</v>
      </c>
      <c r="N15" s="10"/>
      <c r="R15" s="2"/>
    </row>
    <row r="16" spans="1:18" ht="15.75">
      <c r="A16" s="19"/>
      <c r="B16" s="20">
        <f>DATE(2015,2,1)</f>
        <v>42036</v>
      </c>
      <c r="C16" s="21">
        <v>267152</v>
      </c>
      <c r="D16" s="22">
        <v>277541</v>
      </c>
      <c r="E16" s="23">
        <f t="shared" si="0"/>
        <v>-0.037432307298741446</v>
      </c>
      <c r="F16" s="21">
        <f>+C16-130903</f>
        <v>136249</v>
      </c>
      <c r="G16" s="21">
        <f>+D16-137668</f>
        <v>139873</v>
      </c>
      <c r="H16" s="23">
        <f t="shared" si="1"/>
        <v>-0.025909217647437317</v>
      </c>
      <c r="I16" s="24">
        <f t="shared" si="2"/>
        <v>42.65852458525484</v>
      </c>
      <c r="J16" s="24">
        <f t="shared" si="3"/>
        <v>83.64325727161301</v>
      </c>
      <c r="K16" s="21">
        <v>11396310.16</v>
      </c>
      <c r="L16" s="21">
        <v>11907316.2</v>
      </c>
      <c r="M16" s="25">
        <f t="shared" si="4"/>
        <v>-0.04291529941902434</v>
      </c>
      <c r="N16" s="10"/>
      <c r="R16" s="2"/>
    </row>
    <row r="17" spans="1:18" ht="15.75">
      <c r="A17" s="19"/>
      <c r="B17" s="20">
        <f>DATE(2015,3,1)</f>
        <v>42064</v>
      </c>
      <c r="C17" s="21">
        <v>293318</v>
      </c>
      <c r="D17" s="22">
        <v>300087</v>
      </c>
      <c r="E17" s="23">
        <f t="shared" si="0"/>
        <v>-0.022556791863692863</v>
      </c>
      <c r="F17" s="21">
        <f>+C17-142282</f>
        <v>151036</v>
      </c>
      <c r="G17" s="21">
        <f>+D17-149325</f>
        <v>150762</v>
      </c>
      <c r="H17" s="23">
        <f t="shared" si="1"/>
        <v>0.0018174341014313951</v>
      </c>
      <c r="I17" s="24">
        <f t="shared" si="2"/>
        <v>44.24931889621503</v>
      </c>
      <c r="J17" s="24">
        <f t="shared" si="3"/>
        <v>85.93396090998174</v>
      </c>
      <c r="K17" s="21">
        <v>12979121.72</v>
      </c>
      <c r="L17" s="21">
        <v>13109731.56</v>
      </c>
      <c r="M17" s="25">
        <f t="shared" si="4"/>
        <v>-0.009962815745099806</v>
      </c>
      <c r="N17" s="10"/>
      <c r="R17" s="2"/>
    </row>
    <row r="18" spans="1:18" ht="15.75">
      <c r="A18" s="19"/>
      <c r="B18" s="20">
        <f>DATE(2015,4,1)</f>
        <v>42095</v>
      </c>
      <c r="C18" s="21">
        <v>270252</v>
      </c>
      <c r="D18" s="22">
        <v>273950</v>
      </c>
      <c r="E18" s="23">
        <f t="shared" si="0"/>
        <v>-0.013498813652126301</v>
      </c>
      <c r="F18" s="21">
        <f>+C18-131915</f>
        <v>138337</v>
      </c>
      <c r="G18" s="21">
        <f>+D18-133894</f>
        <v>140056</v>
      </c>
      <c r="H18" s="23">
        <f t="shared" si="1"/>
        <v>-0.012273661963785914</v>
      </c>
      <c r="I18" s="24">
        <f t="shared" si="2"/>
        <v>45.74389336619156</v>
      </c>
      <c r="J18" s="24">
        <f t="shared" si="3"/>
        <v>89.36422410490324</v>
      </c>
      <c r="K18" s="21">
        <v>12362378.67</v>
      </c>
      <c r="L18" s="21">
        <v>12154695.18</v>
      </c>
      <c r="M18" s="25">
        <f t="shared" si="4"/>
        <v>0.017086688470948574</v>
      </c>
      <c r="N18" s="10"/>
      <c r="R18" s="2"/>
    </row>
    <row r="19" spans="1:18" ht="15.75">
      <c r="A19" s="19"/>
      <c r="B19" s="20">
        <f>DATE(2015,5,1)</f>
        <v>42125</v>
      </c>
      <c r="C19" s="21">
        <v>294991</v>
      </c>
      <c r="D19" s="22">
        <v>292620</v>
      </c>
      <c r="E19" s="23">
        <f t="shared" si="0"/>
        <v>0.008102658738295401</v>
      </c>
      <c r="F19" s="21">
        <f>+C19-143936</f>
        <v>151055</v>
      </c>
      <c r="G19" s="21">
        <f>+D19-141198</f>
        <v>151422</v>
      </c>
      <c r="H19" s="23">
        <f t="shared" si="1"/>
        <v>-0.0024236900846640514</v>
      </c>
      <c r="I19" s="24">
        <f t="shared" si="2"/>
        <v>45.09292073317491</v>
      </c>
      <c r="J19" s="24">
        <f t="shared" si="3"/>
        <v>88.060678428387</v>
      </c>
      <c r="K19" s="21">
        <v>13302005.78</v>
      </c>
      <c r="L19" s="21">
        <v>12925500.38</v>
      </c>
      <c r="M19" s="25">
        <f t="shared" si="4"/>
        <v>0.029128883906310982</v>
      </c>
      <c r="N19" s="10"/>
      <c r="R19" s="2"/>
    </row>
    <row r="20" spans="1:18" ht="15.75" customHeight="1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Bot="1" thickTop="1">
      <c r="A21" s="26" t="s">
        <v>14</v>
      </c>
      <c r="B21" s="27"/>
      <c r="C21" s="28">
        <f>SUM(C9:C20)</f>
        <v>3014252</v>
      </c>
      <c r="D21" s="28">
        <f>SUM(D9:D20)</f>
        <v>3119818</v>
      </c>
      <c r="E21" s="282">
        <f>(+C21-D21)/D21</f>
        <v>-0.03383723024868758</v>
      </c>
      <c r="F21" s="28">
        <f>SUM(F9:F20)</f>
        <v>1548889</v>
      </c>
      <c r="G21" s="28">
        <f>SUM(G9:G20)</f>
        <v>1588860</v>
      </c>
      <c r="H21" s="30">
        <f>(+F21-G21)/G21</f>
        <v>-0.02515703082713392</v>
      </c>
      <c r="I21" s="31">
        <f>K21/C21</f>
        <v>43.32357924619442</v>
      </c>
      <c r="J21" s="31">
        <f>K21/F21</f>
        <v>84.31087404584835</v>
      </c>
      <c r="K21" s="28">
        <f>SUM(K9:K20)</f>
        <v>130588185.39000002</v>
      </c>
      <c r="L21" s="28">
        <f>SUM(L9:L20)</f>
        <v>131841715.6</v>
      </c>
      <c r="M21" s="32">
        <f>(+K21-L21)/L21</f>
        <v>-0.009507842068766122</v>
      </c>
      <c r="N21" s="10"/>
      <c r="R21" s="2"/>
    </row>
    <row r="22" spans="1:18" ht="15.75" customHeight="1" thickTop="1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.75">
      <c r="A23" s="19" t="s">
        <v>15</v>
      </c>
      <c r="B23" s="20">
        <f>DATE(2014,7,1)</f>
        <v>41821</v>
      </c>
      <c r="C23" s="21">
        <v>174037</v>
      </c>
      <c r="D23" s="21">
        <v>167462</v>
      </c>
      <c r="E23" s="23">
        <f aca="true" t="shared" si="5" ref="E23:E33">(+C23-D23)/D23</f>
        <v>0.03926263868818</v>
      </c>
      <c r="F23" s="21">
        <f>+C23-81593</f>
        <v>92444</v>
      </c>
      <c r="G23" s="21">
        <f>+D23-80491</f>
        <v>86971</v>
      </c>
      <c r="H23" s="23">
        <f aca="true" t="shared" si="6" ref="H23:H33">(+F23-G23)/G23</f>
        <v>0.06292902231778409</v>
      </c>
      <c r="I23" s="24">
        <f aca="true" t="shared" si="7" ref="I23:I33">K23/C23</f>
        <v>39.82418313347162</v>
      </c>
      <c r="J23" s="24">
        <f aca="true" t="shared" si="8" ref="J23:J33">K23/F23</f>
        <v>74.97383670113798</v>
      </c>
      <c r="K23" s="21">
        <v>6930881.36</v>
      </c>
      <c r="L23" s="21">
        <v>6463510.29</v>
      </c>
      <c r="M23" s="25">
        <f aca="true" t="shared" si="9" ref="M23:M33">(+K23-L23)/L23</f>
        <v>0.07230917087315418</v>
      </c>
      <c r="N23" s="10"/>
      <c r="R23" s="2"/>
    </row>
    <row r="24" spans="1:18" ht="15.75">
      <c r="A24" s="19"/>
      <c r="B24" s="20">
        <f>DATE(2014,8,1)</f>
        <v>41852</v>
      </c>
      <c r="C24" s="21">
        <v>180474</v>
      </c>
      <c r="D24" s="21">
        <v>180814</v>
      </c>
      <c r="E24" s="23">
        <f t="shared" si="5"/>
        <v>-0.001880385368389616</v>
      </c>
      <c r="F24" s="21">
        <f>+C24-84762</f>
        <v>95712</v>
      </c>
      <c r="G24" s="21">
        <f>+D24-88497</f>
        <v>92317</v>
      </c>
      <c r="H24" s="23">
        <f t="shared" si="6"/>
        <v>0.03677545847460381</v>
      </c>
      <c r="I24" s="24">
        <f t="shared" si="7"/>
        <v>39.69763716657247</v>
      </c>
      <c r="J24" s="24">
        <f t="shared" si="8"/>
        <v>74.85363768388498</v>
      </c>
      <c r="K24" s="21">
        <v>7164391.37</v>
      </c>
      <c r="L24" s="21">
        <v>7197790.58</v>
      </c>
      <c r="M24" s="25">
        <f t="shared" si="9"/>
        <v>-0.0046402030774282356</v>
      </c>
      <c r="N24" s="10"/>
      <c r="R24" s="2"/>
    </row>
    <row r="25" spans="1:18" ht="15.75">
      <c r="A25" s="19"/>
      <c r="B25" s="20">
        <f>DATE(2014,9,1)</f>
        <v>41883</v>
      </c>
      <c r="C25" s="21">
        <v>159026</v>
      </c>
      <c r="D25" s="21">
        <v>166343</v>
      </c>
      <c r="E25" s="23">
        <f t="shared" si="5"/>
        <v>-0.04398742357658573</v>
      </c>
      <c r="F25" s="21">
        <f>+C25-73696</f>
        <v>85330</v>
      </c>
      <c r="G25" s="21">
        <f>+D25-79764</f>
        <v>86579</v>
      </c>
      <c r="H25" s="23">
        <f t="shared" si="6"/>
        <v>-0.014426131047944652</v>
      </c>
      <c r="I25" s="24">
        <f t="shared" si="7"/>
        <v>41.42939984656597</v>
      </c>
      <c r="J25" s="24">
        <f t="shared" si="8"/>
        <v>77.21026297902262</v>
      </c>
      <c r="K25" s="21">
        <v>6588351.74</v>
      </c>
      <c r="L25" s="21">
        <v>6703192.74</v>
      </c>
      <c r="M25" s="25">
        <f t="shared" si="9"/>
        <v>-0.017132283742150013</v>
      </c>
      <c r="N25" s="10"/>
      <c r="R25" s="2"/>
    </row>
    <row r="26" spans="1:18" ht="15.75">
      <c r="A26" s="19"/>
      <c r="B26" s="20">
        <f>DATE(2014,10,1)</f>
        <v>41913</v>
      </c>
      <c r="C26" s="21">
        <v>161024</v>
      </c>
      <c r="D26" s="21">
        <v>153875</v>
      </c>
      <c r="E26" s="23">
        <f t="shared" si="5"/>
        <v>0.04645978878960195</v>
      </c>
      <c r="F26" s="21">
        <f>C26-74934</f>
        <v>86090</v>
      </c>
      <c r="G26" s="21">
        <f>D26-73934</f>
        <v>79941</v>
      </c>
      <c r="H26" s="23">
        <f t="shared" si="6"/>
        <v>0.07691922793059881</v>
      </c>
      <c r="I26" s="24">
        <f t="shared" si="7"/>
        <v>40.30702392189984</v>
      </c>
      <c r="J26" s="24">
        <f t="shared" si="8"/>
        <v>75.39084934371007</v>
      </c>
      <c r="K26" s="21">
        <v>6490398.22</v>
      </c>
      <c r="L26" s="21">
        <v>6163453.16</v>
      </c>
      <c r="M26" s="25">
        <f t="shared" si="9"/>
        <v>0.05304576047106677</v>
      </c>
      <c r="N26" s="10"/>
      <c r="R26" s="2"/>
    </row>
    <row r="27" spans="1:18" ht="15.75">
      <c r="A27" s="19"/>
      <c r="B27" s="20">
        <f>DATE(2014,11,1)</f>
        <v>41944</v>
      </c>
      <c r="C27" s="21">
        <v>153994</v>
      </c>
      <c r="D27" s="22">
        <v>157990</v>
      </c>
      <c r="E27" s="23">
        <f t="shared" si="5"/>
        <v>-0.02529274004683841</v>
      </c>
      <c r="F27" s="21">
        <f>C27-72262</f>
        <v>81732</v>
      </c>
      <c r="G27" s="21">
        <f>D27-76341</f>
        <v>81649</v>
      </c>
      <c r="H27" s="23">
        <f t="shared" si="6"/>
        <v>0.0010165464365760755</v>
      </c>
      <c r="I27" s="24">
        <f t="shared" si="7"/>
        <v>40.483281491486686</v>
      </c>
      <c r="J27" s="24">
        <f t="shared" si="8"/>
        <v>76.27590723339696</v>
      </c>
      <c r="K27" s="21">
        <v>6234182.45</v>
      </c>
      <c r="L27" s="21">
        <v>6667296.12</v>
      </c>
      <c r="M27" s="25">
        <f t="shared" si="9"/>
        <v>-0.06496091702013677</v>
      </c>
      <c r="N27" s="10"/>
      <c r="R27" s="2"/>
    </row>
    <row r="28" spans="1:18" ht="15.75">
      <c r="A28" s="19"/>
      <c r="B28" s="20">
        <f>DATE(2014,12,1)</f>
        <v>41974</v>
      </c>
      <c r="C28" s="21">
        <v>151845</v>
      </c>
      <c r="D28" s="22">
        <v>142412</v>
      </c>
      <c r="E28" s="23">
        <f t="shared" si="5"/>
        <v>0.06623739572507935</v>
      </c>
      <c r="F28" s="21">
        <f>+C28-71267</f>
        <v>80578</v>
      </c>
      <c r="G28" s="21">
        <f>+D28-70586</f>
        <v>71826</v>
      </c>
      <c r="H28" s="23">
        <f t="shared" si="6"/>
        <v>0.12185002645281653</v>
      </c>
      <c r="I28" s="24">
        <f t="shared" si="7"/>
        <v>42.068228851789655</v>
      </c>
      <c r="J28" s="24">
        <f t="shared" si="8"/>
        <v>79.27536312641168</v>
      </c>
      <c r="K28" s="21">
        <v>6387850.21</v>
      </c>
      <c r="L28" s="21">
        <v>5984263.67</v>
      </c>
      <c r="M28" s="25">
        <f t="shared" si="9"/>
        <v>0.06744130310020248</v>
      </c>
      <c r="N28" s="10"/>
      <c r="R28" s="2"/>
    </row>
    <row r="29" spans="1:18" ht="15.75">
      <c r="A29" s="19"/>
      <c r="B29" s="20">
        <f>DATE(2015,1,1)</f>
        <v>42005</v>
      </c>
      <c r="C29" s="21">
        <v>165440</v>
      </c>
      <c r="D29" s="22">
        <v>139969</v>
      </c>
      <c r="E29" s="23">
        <f t="shared" si="5"/>
        <v>0.18197600897341554</v>
      </c>
      <c r="F29" s="21">
        <f>+C29-80337</f>
        <v>85103</v>
      </c>
      <c r="G29" s="21">
        <f>+D29-68762</f>
        <v>71207</v>
      </c>
      <c r="H29" s="23">
        <f t="shared" si="6"/>
        <v>0.19514935329391772</v>
      </c>
      <c r="I29" s="24">
        <f t="shared" si="7"/>
        <v>42.17869445116054</v>
      </c>
      <c r="J29" s="24">
        <f t="shared" si="8"/>
        <v>81.99526702936441</v>
      </c>
      <c r="K29" s="21">
        <v>6978043.21</v>
      </c>
      <c r="L29" s="21">
        <v>6011974.87</v>
      </c>
      <c r="M29" s="25">
        <f t="shared" si="9"/>
        <v>0.16069068166281272</v>
      </c>
      <c r="N29" s="10"/>
      <c r="R29" s="2"/>
    </row>
    <row r="30" spans="1:18" ht="15.75">
      <c r="A30" s="19"/>
      <c r="B30" s="20">
        <f>DATE(2015,2,1)</f>
        <v>42036</v>
      </c>
      <c r="C30" s="21">
        <v>149542</v>
      </c>
      <c r="D30" s="22">
        <v>152332</v>
      </c>
      <c r="E30" s="23">
        <f t="shared" si="5"/>
        <v>-0.018315258776882073</v>
      </c>
      <c r="F30" s="21">
        <f>+C30-71313</f>
        <v>78229</v>
      </c>
      <c r="G30" s="21">
        <f>+D30-74516</f>
        <v>77816</v>
      </c>
      <c r="H30" s="23">
        <f t="shared" si="6"/>
        <v>0.005307391796031664</v>
      </c>
      <c r="I30" s="24">
        <f t="shared" si="7"/>
        <v>43.13171162616523</v>
      </c>
      <c r="J30" s="24">
        <f t="shared" si="8"/>
        <v>82.45027317235296</v>
      </c>
      <c r="K30" s="21">
        <v>6450002.42</v>
      </c>
      <c r="L30" s="21">
        <v>6553475.23</v>
      </c>
      <c r="M30" s="25">
        <f t="shared" si="9"/>
        <v>-0.01578899841206854</v>
      </c>
      <c r="N30" s="10"/>
      <c r="R30" s="2"/>
    </row>
    <row r="31" spans="1:18" ht="15.75">
      <c r="A31" s="19"/>
      <c r="B31" s="20">
        <f>DATE(2015,3,1)</f>
        <v>42064</v>
      </c>
      <c r="C31" s="21">
        <v>167007</v>
      </c>
      <c r="D31" s="22">
        <v>169699</v>
      </c>
      <c r="E31" s="23">
        <f t="shared" si="5"/>
        <v>-0.01586338163454116</v>
      </c>
      <c r="F31" s="21">
        <f>+C31-79791</f>
        <v>87216</v>
      </c>
      <c r="G31" s="21">
        <f>+D31-82766</f>
        <v>86933</v>
      </c>
      <c r="H31" s="23">
        <f t="shared" si="6"/>
        <v>0.0032553805804470108</v>
      </c>
      <c r="I31" s="24">
        <f t="shared" si="7"/>
        <v>44.19175573478956</v>
      </c>
      <c r="J31" s="24">
        <f t="shared" si="8"/>
        <v>84.62131432305999</v>
      </c>
      <c r="K31" s="21">
        <v>7380332.55</v>
      </c>
      <c r="L31" s="21">
        <v>6659502.71</v>
      </c>
      <c r="M31" s="25">
        <f t="shared" si="9"/>
        <v>0.10824079085028256</v>
      </c>
      <c r="N31" s="10"/>
      <c r="R31" s="2"/>
    </row>
    <row r="32" spans="1:18" ht="15.75">
      <c r="A32" s="19"/>
      <c r="B32" s="20">
        <f>DATE(2015,4,1)</f>
        <v>42095</v>
      </c>
      <c r="C32" s="21">
        <v>152525</v>
      </c>
      <c r="D32" s="22">
        <v>151365</v>
      </c>
      <c r="E32" s="23">
        <f t="shared" si="5"/>
        <v>0.00766359462227067</v>
      </c>
      <c r="F32" s="21">
        <f>+C32-73218</f>
        <v>79307</v>
      </c>
      <c r="G32" s="21">
        <f>+D32-72756</f>
        <v>78609</v>
      </c>
      <c r="H32" s="23">
        <f t="shared" si="6"/>
        <v>0.008879390400590263</v>
      </c>
      <c r="I32" s="24">
        <f t="shared" si="7"/>
        <v>43.157649762334046</v>
      </c>
      <c r="J32" s="24">
        <f t="shared" si="8"/>
        <v>83.00175936550367</v>
      </c>
      <c r="K32" s="21">
        <v>6582620.53</v>
      </c>
      <c r="L32" s="21">
        <v>6605632.46</v>
      </c>
      <c r="M32" s="25">
        <f t="shared" si="9"/>
        <v>-0.003483683074913269</v>
      </c>
      <c r="N32" s="10"/>
      <c r="R32" s="2"/>
    </row>
    <row r="33" spans="1:18" ht="15.75">
      <c r="A33" s="19"/>
      <c r="B33" s="20">
        <f>DATE(2015,5,1)</f>
        <v>42125</v>
      </c>
      <c r="C33" s="21">
        <v>174908</v>
      </c>
      <c r="D33" s="22">
        <v>162703</v>
      </c>
      <c r="E33" s="23">
        <f t="shared" si="5"/>
        <v>0.07501398253259006</v>
      </c>
      <c r="F33" s="21">
        <f>+C33-84102</f>
        <v>90806</v>
      </c>
      <c r="G33" s="21">
        <f>+D33-77866</f>
        <v>84837</v>
      </c>
      <c r="H33" s="23">
        <f t="shared" si="6"/>
        <v>0.07035845209047939</v>
      </c>
      <c r="I33" s="24">
        <f t="shared" si="7"/>
        <v>44.596093889358976</v>
      </c>
      <c r="J33" s="24">
        <f t="shared" si="8"/>
        <v>85.8997598176332</v>
      </c>
      <c r="K33" s="21">
        <v>7800213.59</v>
      </c>
      <c r="L33" s="21">
        <v>6575382.36</v>
      </c>
      <c r="M33" s="25">
        <f t="shared" si="9"/>
        <v>0.1862752860504373</v>
      </c>
      <c r="N33" s="10"/>
      <c r="R33" s="2"/>
    </row>
    <row r="34" spans="1:18" ht="15.75" customHeight="1" thickBot="1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Bot="1" thickTop="1">
      <c r="A35" s="26" t="s">
        <v>14</v>
      </c>
      <c r="B35" s="27"/>
      <c r="C35" s="28">
        <f>SUM(C23:C34)</f>
        <v>1789822</v>
      </c>
      <c r="D35" s="28">
        <f>SUM(D23:D34)</f>
        <v>1744964</v>
      </c>
      <c r="E35" s="282">
        <f>(+C35-D35)/D35</f>
        <v>0.025707120605353462</v>
      </c>
      <c r="F35" s="28">
        <f>SUM(F23:F34)</f>
        <v>942547</v>
      </c>
      <c r="G35" s="28">
        <f>SUM(G23:G34)</f>
        <v>898685</v>
      </c>
      <c r="H35" s="30">
        <f>(+F35-G35)/G35</f>
        <v>0.048806867812414806</v>
      </c>
      <c r="I35" s="31">
        <f>K35/C35</f>
        <v>41.896494539680475</v>
      </c>
      <c r="J35" s="31">
        <f>K35/F35</f>
        <v>79.55812033776564</v>
      </c>
      <c r="K35" s="28">
        <f>SUM(K23:K34)</f>
        <v>74987267.64999999</v>
      </c>
      <c r="L35" s="28">
        <f>SUM(L23:L34)</f>
        <v>71585474.19</v>
      </c>
      <c r="M35" s="32">
        <f>(+K35-L35)/L35</f>
        <v>0.04752072258362159</v>
      </c>
      <c r="N35" s="10"/>
      <c r="R35" s="2"/>
    </row>
    <row r="36" spans="1:18" ht="15.75" customHeight="1" thickTop="1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>
      <c r="A37" s="19" t="s">
        <v>56</v>
      </c>
      <c r="B37" s="20">
        <f>DATE(2014,7,1)</f>
        <v>41821</v>
      </c>
      <c r="C37" s="21">
        <v>72401</v>
      </c>
      <c r="D37" s="21">
        <v>75211</v>
      </c>
      <c r="E37" s="23">
        <f aca="true" t="shared" si="10" ref="E37:E47">(+C37-D37)/D37</f>
        <v>-0.03736155615534962</v>
      </c>
      <c r="F37" s="21">
        <f>+C37-40333</f>
        <v>32068</v>
      </c>
      <c r="G37" s="21">
        <f>+D37-41471</f>
        <v>33740</v>
      </c>
      <c r="H37" s="23">
        <f aca="true" t="shared" si="11" ref="H37:H47">(+F37-G37)/G37</f>
        <v>-0.04955542382928275</v>
      </c>
      <c r="I37" s="24">
        <f aca="true" t="shared" si="12" ref="I37:I47">K37/C37</f>
        <v>38.17124487230839</v>
      </c>
      <c r="J37" s="24">
        <f aca="true" t="shared" si="13" ref="J37:J47">K37/F37</f>
        <v>86.18050081077709</v>
      </c>
      <c r="K37" s="21">
        <v>2763636.3</v>
      </c>
      <c r="L37" s="21">
        <v>2798471.18</v>
      </c>
      <c r="M37" s="25">
        <f aca="true" t="shared" si="14" ref="M37:M47">(+K37-L37)/L37</f>
        <v>-0.01244782517288613</v>
      </c>
      <c r="N37" s="10"/>
      <c r="R37" s="2"/>
    </row>
    <row r="38" spans="1:18" ht="15.75" customHeight="1">
      <c r="A38" s="19"/>
      <c r="B38" s="20">
        <f>DATE(2014,8,1)</f>
        <v>41852</v>
      </c>
      <c r="C38" s="21">
        <v>78277</v>
      </c>
      <c r="D38" s="21">
        <v>74130</v>
      </c>
      <c r="E38" s="23">
        <f t="shared" si="10"/>
        <v>0.055942263590988806</v>
      </c>
      <c r="F38" s="21">
        <f>+C38-44305</f>
        <v>33972</v>
      </c>
      <c r="G38" s="21">
        <f>+D38-40749</f>
        <v>33381</v>
      </c>
      <c r="H38" s="23">
        <f t="shared" si="11"/>
        <v>0.017704682304304845</v>
      </c>
      <c r="I38" s="24">
        <f t="shared" si="12"/>
        <v>38.30464849189417</v>
      </c>
      <c r="J38" s="24">
        <f t="shared" si="13"/>
        <v>88.26012510302603</v>
      </c>
      <c r="K38" s="21">
        <v>2998372.97</v>
      </c>
      <c r="L38" s="21">
        <v>2757505.22</v>
      </c>
      <c r="M38" s="25">
        <f t="shared" si="14"/>
        <v>0.08734987997592983</v>
      </c>
      <c r="N38" s="10"/>
      <c r="R38" s="2"/>
    </row>
    <row r="39" spans="1:18" ht="15.75" customHeight="1">
      <c r="A39" s="19"/>
      <c r="B39" s="20">
        <f>DATE(2014,9,1)</f>
        <v>41883</v>
      </c>
      <c r="C39" s="21">
        <v>63778</v>
      </c>
      <c r="D39" s="21">
        <v>66326</v>
      </c>
      <c r="E39" s="23">
        <f t="shared" si="10"/>
        <v>-0.03841630733045864</v>
      </c>
      <c r="F39" s="21">
        <f>+C39-35884</f>
        <v>27894</v>
      </c>
      <c r="G39" s="21">
        <f>+D39-36268</f>
        <v>30058</v>
      </c>
      <c r="H39" s="23">
        <f t="shared" si="11"/>
        <v>-0.07199414465366957</v>
      </c>
      <c r="I39" s="24">
        <f t="shared" si="12"/>
        <v>40.70949669164916</v>
      </c>
      <c r="J39" s="24">
        <f t="shared" si="13"/>
        <v>93.07988384598838</v>
      </c>
      <c r="K39" s="21">
        <v>2596370.28</v>
      </c>
      <c r="L39" s="21">
        <v>2526534.71</v>
      </c>
      <c r="M39" s="25">
        <f t="shared" si="14"/>
        <v>0.027640851211578974</v>
      </c>
      <c r="N39" s="10"/>
      <c r="R39" s="2"/>
    </row>
    <row r="40" spans="1:18" ht="15.75" customHeight="1">
      <c r="A40" s="19"/>
      <c r="B40" s="20">
        <f>DATE(2014,10,1)</f>
        <v>41913</v>
      </c>
      <c r="C40" s="21">
        <v>68120</v>
      </c>
      <c r="D40" s="21">
        <v>62704</v>
      </c>
      <c r="E40" s="23">
        <f t="shared" si="10"/>
        <v>0.08637407501913753</v>
      </c>
      <c r="F40" s="21">
        <f>C40-39168</f>
        <v>28952</v>
      </c>
      <c r="G40" s="21">
        <f>D40-35119</f>
        <v>27585</v>
      </c>
      <c r="H40" s="23">
        <f t="shared" si="11"/>
        <v>0.04955591807141563</v>
      </c>
      <c r="I40" s="24">
        <f t="shared" si="12"/>
        <v>37.851111861421025</v>
      </c>
      <c r="J40" s="24">
        <f t="shared" si="13"/>
        <v>89.05836349820393</v>
      </c>
      <c r="K40" s="21">
        <v>2578417.74</v>
      </c>
      <c r="L40" s="21">
        <v>2327598.84</v>
      </c>
      <c r="M40" s="25">
        <f t="shared" si="14"/>
        <v>0.1077586462450722</v>
      </c>
      <c r="N40" s="10"/>
      <c r="R40" s="2"/>
    </row>
    <row r="41" spans="1:18" ht="15.75" customHeight="1">
      <c r="A41" s="19"/>
      <c r="B41" s="20">
        <f>DATE(2014,11,1)</f>
        <v>41944</v>
      </c>
      <c r="C41" s="21">
        <v>70883</v>
      </c>
      <c r="D41" s="22">
        <v>65148</v>
      </c>
      <c r="E41" s="23">
        <f t="shared" si="10"/>
        <v>0.08803033093878554</v>
      </c>
      <c r="F41" s="21">
        <f>C41-40956</f>
        <v>29927</v>
      </c>
      <c r="G41" s="21">
        <f>D41-37452</f>
        <v>27696</v>
      </c>
      <c r="H41" s="23">
        <f t="shared" si="11"/>
        <v>0.080553148469093</v>
      </c>
      <c r="I41" s="24">
        <f t="shared" si="12"/>
        <v>38.85163170294711</v>
      </c>
      <c r="J41" s="24">
        <f t="shared" si="13"/>
        <v>92.0212587295753</v>
      </c>
      <c r="K41" s="21">
        <v>2753920.21</v>
      </c>
      <c r="L41" s="21">
        <v>2425306.31</v>
      </c>
      <c r="M41" s="25">
        <f t="shared" si="14"/>
        <v>0.13549377191864886</v>
      </c>
      <c r="N41" s="10"/>
      <c r="R41" s="2"/>
    </row>
    <row r="42" spans="1:18" ht="15.75" customHeight="1">
      <c r="A42" s="19"/>
      <c r="B42" s="20">
        <f>DATE(2014,12,1)</f>
        <v>41974</v>
      </c>
      <c r="C42" s="21">
        <v>72435</v>
      </c>
      <c r="D42" s="22">
        <v>59030</v>
      </c>
      <c r="E42" s="23">
        <f t="shared" si="10"/>
        <v>0.2270879213959004</v>
      </c>
      <c r="F42" s="21">
        <f>+C42-41824</f>
        <v>30611</v>
      </c>
      <c r="G42" s="21">
        <f>+D42-34857</f>
        <v>24173</v>
      </c>
      <c r="H42" s="23">
        <f t="shared" si="11"/>
        <v>0.26633020311918254</v>
      </c>
      <c r="I42" s="24">
        <f t="shared" si="12"/>
        <v>38.39955366880652</v>
      </c>
      <c r="J42" s="24">
        <f t="shared" si="13"/>
        <v>90.86510306752474</v>
      </c>
      <c r="K42" s="21">
        <v>2781471.67</v>
      </c>
      <c r="L42" s="21">
        <v>2352148.31</v>
      </c>
      <c r="M42" s="25">
        <f t="shared" si="14"/>
        <v>0.18252393277020865</v>
      </c>
      <c r="N42" s="10"/>
      <c r="R42" s="2"/>
    </row>
    <row r="43" spans="1:18" ht="15.75" customHeight="1">
      <c r="A43" s="19"/>
      <c r="B43" s="20">
        <f>DATE(2015,1,1)</f>
        <v>42005</v>
      </c>
      <c r="C43" s="21">
        <v>73408</v>
      </c>
      <c r="D43" s="22">
        <v>62722</v>
      </c>
      <c r="E43" s="23">
        <f t="shared" si="10"/>
        <v>0.17037084276649342</v>
      </c>
      <c r="F43" s="21">
        <f>+C43-42874</f>
        <v>30534</v>
      </c>
      <c r="G43" s="21">
        <f>+D43-36963</f>
        <v>25759</v>
      </c>
      <c r="H43" s="23">
        <f t="shared" si="11"/>
        <v>0.18537210295430723</v>
      </c>
      <c r="I43" s="24">
        <f t="shared" si="12"/>
        <v>38.28122684176111</v>
      </c>
      <c r="J43" s="24">
        <f t="shared" si="13"/>
        <v>92.0334152092749</v>
      </c>
      <c r="K43" s="21">
        <v>2810148.3</v>
      </c>
      <c r="L43" s="21">
        <v>2419612.3</v>
      </c>
      <c r="M43" s="25">
        <f t="shared" si="14"/>
        <v>0.16140437044397568</v>
      </c>
      <c r="N43" s="10"/>
      <c r="R43" s="2"/>
    </row>
    <row r="44" spans="1:18" ht="15.75" customHeight="1">
      <c r="A44" s="19"/>
      <c r="B44" s="20">
        <f>DATE(2015,2,1)</f>
        <v>42036</v>
      </c>
      <c r="C44" s="21">
        <v>72753</v>
      </c>
      <c r="D44" s="22">
        <v>69412</v>
      </c>
      <c r="E44" s="23">
        <f t="shared" si="10"/>
        <v>0.04813288768512649</v>
      </c>
      <c r="F44" s="21">
        <f>+C44-42860</f>
        <v>29893</v>
      </c>
      <c r="G44" s="21">
        <f>+D44-41429</f>
        <v>27983</v>
      </c>
      <c r="H44" s="23">
        <f t="shared" si="11"/>
        <v>0.06825572669120537</v>
      </c>
      <c r="I44" s="24">
        <f t="shared" si="12"/>
        <v>39.786534575893775</v>
      </c>
      <c r="J44" s="24">
        <f t="shared" si="13"/>
        <v>96.8316913658716</v>
      </c>
      <c r="K44" s="21">
        <v>2894589.75</v>
      </c>
      <c r="L44" s="21">
        <v>2742932.47</v>
      </c>
      <c r="M44" s="25">
        <f t="shared" si="14"/>
        <v>0.0552901982308007</v>
      </c>
      <c r="N44" s="10"/>
      <c r="R44" s="2"/>
    </row>
    <row r="45" spans="1:18" ht="15.75" customHeight="1">
      <c r="A45" s="19"/>
      <c r="B45" s="20">
        <f>DATE(2015,3,1)</f>
        <v>42064</v>
      </c>
      <c r="C45" s="21">
        <v>75547</v>
      </c>
      <c r="D45" s="22">
        <v>71189</v>
      </c>
      <c r="E45" s="23">
        <f t="shared" si="10"/>
        <v>0.061217322901009986</v>
      </c>
      <c r="F45" s="21">
        <f>+C45-42761</f>
        <v>32786</v>
      </c>
      <c r="G45" s="21">
        <f>+D45-42462</f>
        <v>28727</v>
      </c>
      <c r="H45" s="23">
        <f t="shared" si="11"/>
        <v>0.14129564521182164</v>
      </c>
      <c r="I45" s="24">
        <f t="shared" si="12"/>
        <v>39.1614924484096</v>
      </c>
      <c r="J45" s="24">
        <f t="shared" si="13"/>
        <v>90.23770115293112</v>
      </c>
      <c r="K45" s="21">
        <v>2958533.27</v>
      </c>
      <c r="L45" s="21">
        <v>2902181.54</v>
      </c>
      <c r="M45" s="25">
        <f t="shared" si="14"/>
        <v>0.019417024477386753</v>
      </c>
      <c r="N45" s="10"/>
      <c r="R45" s="2"/>
    </row>
    <row r="46" spans="1:18" ht="15.75" customHeight="1">
      <c r="A46" s="19"/>
      <c r="B46" s="20">
        <f>DATE(2015,4,1)</f>
        <v>42095</v>
      </c>
      <c r="C46" s="21">
        <v>71691</v>
      </c>
      <c r="D46" s="22">
        <v>67447</v>
      </c>
      <c r="E46" s="23">
        <f t="shared" si="10"/>
        <v>0.06292348065888773</v>
      </c>
      <c r="F46" s="21">
        <f>+C46-40170</f>
        <v>31521</v>
      </c>
      <c r="G46" s="21">
        <f>+D46-37845</f>
        <v>29602</v>
      </c>
      <c r="H46" s="23">
        <f t="shared" si="11"/>
        <v>0.06482670089858793</v>
      </c>
      <c r="I46" s="24">
        <f t="shared" si="12"/>
        <v>41.18125748001841</v>
      </c>
      <c r="J46" s="24">
        <f t="shared" si="13"/>
        <v>93.66217854763491</v>
      </c>
      <c r="K46" s="21">
        <v>2952325.53</v>
      </c>
      <c r="L46" s="21">
        <v>2753295.03</v>
      </c>
      <c r="M46" s="25">
        <f t="shared" si="14"/>
        <v>0.07228811218244201</v>
      </c>
      <c r="N46" s="10"/>
      <c r="R46" s="2"/>
    </row>
    <row r="47" spans="1:18" ht="15.75" customHeight="1">
      <c r="A47" s="19"/>
      <c r="B47" s="20">
        <f>DATE(2015,5,1)</f>
        <v>42125</v>
      </c>
      <c r="C47" s="21">
        <v>82269</v>
      </c>
      <c r="D47" s="22">
        <v>71181</v>
      </c>
      <c r="E47" s="23">
        <f t="shared" si="10"/>
        <v>0.15577190542420027</v>
      </c>
      <c r="F47" s="21">
        <f>+C47-46371</f>
        <v>35898</v>
      </c>
      <c r="G47" s="21">
        <f>+D47-40270</f>
        <v>30911</v>
      </c>
      <c r="H47" s="23">
        <f t="shared" si="11"/>
        <v>0.16133415289055675</v>
      </c>
      <c r="I47" s="24">
        <f t="shared" si="12"/>
        <v>39.51662691900959</v>
      </c>
      <c r="J47" s="24">
        <f t="shared" si="13"/>
        <v>90.56196389771017</v>
      </c>
      <c r="K47" s="21">
        <v>3250993.38</v>
      </c>
      <c r="L47" s="21">
        <v>2731412.84</v>
      </c>
      <c r="M47" s="25">
        <f t="shared" si="14"/>
        <v>0.19022409662539336</v>
      </c>
      <c r="N47" s="10"/>
      <c r="R47" s="2"/>
    </row>
    <row r="48" spans="1:18" ht="15.75" customHeight="1" thickBot="1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40"/>
      <c r="C49" s="41">
        <f>SUM(C37:C48)</f>
        <v>801562</v>
      </c>
      <c r="D49" s="41">
        <f>SUM(D37:D48)</f>
        <v>744500</v>
      </c>
      <c r="E49" s="283">
        <f>(+C49-D49)/D49</f>
        <v>0.07664472800537274</v>
      </c>
      <c r="F49" s="41">
        <f>SUM(F37:F48)</f>
        <v>344056</v>
      </c>
      <c r="G49" s="41">
        <f>SUM(G37:G48)</f>
        <v>319615</v>
      </c>
      <c r="H49" s="42">
        <f>(+F49-G49)/G49</f>
        <v>0.07647012812289786</v>
      </c>
      <c r="I49" s="43">
        <f>K49/C49</f>
        <v>39.0971370898321</v>
      </c>
      <c r="J49" s="43">
        <f>K49/F49</f>
        <v>91.08627490873579</v>
      </c>
      <c r="K49" s="41">
        <f>SUM(K37:K48)</f>
        <v>31338779.4</v>
      </c>
      <c r="L49" s="41">
        <f>SUM(L37:L48)</f>
        <v>28736998.75</v>
      </c>
      <c r="M49" s="44">
        <f>(+K49-L49)/L49</f>
        <v>0.09053766096572623</v>
      </c>
      <c r="N49" s="10"/>
      <c r="R49" s="2"/>
    </row>
    <row r="50" spans="1:18" ht="15.75" customHeight="1" thickTop="1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>
      <c r="A51" s="177" t="s">
        <v>67</v>
      </c>
      <c r="B51" s="20">
        <f>DATE(2014,7,1)</f>
        <v>41821</v>
      </c>
      <c r="C51" s="21">
        <v>421533</v>
      </c>
      <c r="D51" s="21">
        <v>527984</v>
      </c>
      <c r="E51" s="23">
        <f aca="true" t="shared" si="15" ref="E51:E61">(+C51-D51)/D51</f>
        <v>-0.20161785205612293</v>
      </c>
      <c r="F51" s="21">
        <f>+C51-215434</f>
        <v>206099</v>
      </c>
      <c r="G51" s="21">
        <f>+D51-281153</f>
        <v>246831</v>
      </c>
      <c r="H51" s="23">
        <f aca="true" t="shared" si="16" ref="H51:H61">(+F51-G51)/G51</f>
        <v>-0.16501979086905616</v>
      </c>
      <c r="I51" s="24">
        <f aca="true" t="shared" si="17" ref="I51:I61">K51/C51</f>
        <v>45.186172683989156</v>
      </c>
      <c r="J51" s="24">
        <f aca="true" t="shared" si="18" ref="J51:J61">K51/F51</f>
        <v>92.41899732652755</v>
      </c>
      <c r="K51" s="21">
        <v>19047462.93</v>
      </c>
      <c r="L51" s="21">
        <v>20715249.77</v>
      </c>
      <c r="M51" s="25">
        <f aca="true" t="shared" si="19" ref="M51:M61">(+K51-L51)/L51</f>
        <v>-0.08051010045822875</v>
      </c>
      <c r="N51" s="10"/>
      <c r="R51" s="2"/>
    </row>
    <row r="52" spans="1:18" ht="15.75" customHeight="1">
      <c r="A52" s="177"/>
      <c r="B52" s="20">
        <f>DATE(2014,8,1)</f>
        <v>41852</v>
      </c>
      <c r="C52" s="21">
        <v>422369</v>
      </c>
      <c r="D52" s="21">
        <v>496242</v>
      </c>
      <c r="E52" s="23">
        <f t="shared" si="15"/>
        <v>-0.14886486835052254</v>
      </c>
      <c r="F52" s="21">
        <f>+C52-216914</f>
        <v>205455</v>
      </c>
      <c r="G52" s="21">
        <f>+D52-262624</f>
        <v>233618</v>
      </c>
      <c r="H52" s="23">
        <f t="shared" si="16"/>
        <v>-0.12055149860027908</v>
      </c>
      <c r="I52" s="24">
        <f t="shared" si="17"/>
        <v>42.642127570915484</v>
      </c>
      <c r="J52" s="24">
        <f t="shared" si="18"/>
        <v>87.66256737485095</v>
      </c>
      <c r="K52" s="21">
        <v>18010712.78</v>
      </c>
      <c r="L52" s="21">
        <v>19804736.05</v>
      </c>
      <c r="M52" s="25">
        <f t="shared" si="19"/>
        <v>-0.09058556829390309</v>
      </c>
      <c r="N52" s="10"/>
      <c r="R52" s="2"/>
    </row>
    <row r="53" spans="1:18" ht="15.75" customHeight="1">
      <c r="A53" s="177"/>
      <c r="B53" s="20">
        <f>DATE(2014,9,1)</f>
        <v>41883</v>
      </c>
      <c r="C53" s="21">
        <v>375953</v>
      </c>
      <c r="D53" s="21">
        <v>463425</v>
      </c>
      <c r="E53" s="23">
        <f t="shared" si="15"/>
        <v>-0.1887511463559368</v>
      </c>
      <c r="F53" s="21">
        <f>+C53-189575</f>
        <v>186378</v>
      </c>
      <c r="G53" s="21">
        <f>+D53-254423</f>
        <v>209002</v>
      </c>
      <c r="H53" s="23">
        <f t="shared" si="16"/>
        <v>-0.10824776796394293</v>
      </c>
      <c r="I53" s="24">
        <f t="shared" si="17"/>
        <v>43.84159554518783</v>
      </c>
      <c r="J53" s="24">
        <f t="shared" si="18"/>
        <v>88.4352196611188</v>
      </c>
      <c r="K53" s="21">
        <v>16482379.37</v>
      </c>
      <c r="L53" s="21">
        <v>18416045.4</v>
      </c>
      <c r="M53" s="25">
        <f t="shared" si="19"/>
        <v>-0.10499898257201297</v>
      </c>
      <c r="N53" s="10"/>
      <c r="R53" s="2"/>
    </row>
    <row r="54" spans="1:18" ht="15.75" customHeight="1">
      <c r="A54" s="177"/>
      <c r="B54" s="20">
        <f>DATE(2014,10,1)</f>
        <v>41913</v>
      </c>
      <c r="C54" s="21">
        <v>409850</v>
      </c>
      <c r="D54" s="21">
        <v>451270</v>
      </c>
      <c r="E54" s="23">
        <f t="shared" si="15"/>
        <v>-0.09178540563299134</v>
      </c>
      <c r="F54" s="21">
        <f>+C54-207246</f>
        <v>202604</v>
      </c>
      <c r="G54" s="21">
        <f>D54-250501</f>
        <v>200769</v>
      </c>
      <c r="H54" s="23">
        <f t="shared" si="16"/>
        <v>0.009139857248878063</v>
      </c>
      <c r="I54" s="24">
        <f t="shared" si="17"/>
        <v>44.18165355617909</v>
      </c>
      <c r="J54" s="24">
        <f t="shared" si="18"/>
        <v>89.37558345343626</v>
      </c>
      <c r="K54" s="21">
        <v>18107850.71</v>
      </c>
      <c r="L54" s="21">
        <v>17168126.88</v>
      </c>
      <c r="M54" s="25">
        <f t="shared" si="19"/>
        <v>0.0547365380375149</v>
      </c>
      <c r="N54" s="10"/>
      <c r="R54" s="2"/>
    </row>
    <row r="55" spans="1:18" ht="15.75" customHeight="1">
      <c r="A55" s="177"/>
      <c r="B55" s="20">
        <f>DATE(2014,11,1)</f>
        <v>41944</v>
      </c>
      <c r="C55" s="21">
        <v>406554</v>
      </c>
      <c r="D55" s="22">
        <v>461618</v>
      </c>
      <c r="E55" s="23">
        <f t="shared" si="15"/>
        <v>-0.11928477659016763</v>
      </c>
      <c r="F55" s="21">
        <f>+C55-206259</f>
        <v>200295</v>
      </c>
      <c r="G55" s="21">
        <f>D55-262573</f>
        <v>199045</v>
      </c>
      <c r="H55" s="23">
        <f t="shared" si="16"/>
        <v>0.00627998693762717</v>
      </c>
      <c r="I55" s="24">
        <f t="shared" si="17"/>
        <v>42.30477205980018</v>
      </c>
      <c r="J55" s="24">
        <f t="shared" si="18"/>
        <v>85.8692144087471</v>
      </c>
      <c r="K55" s="21">
        <v>17199174.3</v>
      </c>
      <c r="L55" s="21">
        <v>17529388.63</v>
      </c>
      <c r="M55" s="25">
        <f t="shared" si="19"/>
        <v>-0.018837755096310978</v>
      </c>
      <c r="N55" s="10"/>
      <c r="R55" s="2"/>
    </row>
    <row r="56" spans="1:18" ht="15.75" customHeight="1">
      <c r="A56" s="177"/>
      <c r="B56" s="20">
        <f>DATE(2014,12,1)</f>
        <v>41974</v>
      </c>
      <c r="C56" s="21">
        <v>430657</v>
      </c>
      <c r="D56" s="22">
        <v>458392</v>
      </c>
      <c r="E56" s="23">
        <f t="shared" si="15"/>
        <v>-0.06050498263495</v>
      </c>
      <c r="F56" s="21">
        <f>+C56-224689</f>
        <v>205968</v>
      </c>
      <c r="G56" s="21">
        <f>+D56-248912</f>
        <v>209480</v>
      </c>
      <c r="H56" s="23">
        <f t="shared" si="16"/>
        <v>-0.01676532365858316</v>
      </c>
      <c r="I56" s="24">
        <f t="shared" si="17"/>
        <v>41.21469468741945</v>
      </c>
      <c r="J56" s="24">
        <f t="shared" si="18"/>
        <v>86.17550672920065</v>
      </c>
      <c r="K56" s="21">
        <v>17749396.77</v>
      </c>
      <c r="L56" s="21">
        <v>18058274.8</v>
      </c>
      <c r="M56" s="25">
        <f t="shared" si="19"/>
        <v>-0.017104514878686042</v>
      </c>
      <c r="N56" s="10"/>
      <c r="R56" s="2"/>
    </row>
    <row r="57" spans="1:18" ht="15.75" customHeight="1">
      <c r="A57" s="177"/>
      <c r="B57" s="20">
        <f>DATE(2015,1,1)</f>
        <v>42005</v>
      </c>
      <c r="C57" s="21">
        <v>444117</v>
      </c>
      <c r="D57" s="22">
        <v>427322</v>
      </c>
      <c r="E57" s="23">
        <f t="shared" si="15"/>
        <v>0.03930291442986787</v>
      </c>
      <c r="F57" s="21">
        <f>+C57-238744</f>
        <v>205373</v>
      </c>
      <c r="G57" s="21">
        <f>+D57-223992</f>
        <v>203330</v>
      </c>
      <c r="H57" s="23">
        <f t="shared" si="16"/>
        <v>0.010047705700093444</v>
      </c>
      <c r="I57" s="24">
        <f t="shared" si="17"/>
        <v>40.305406976089635</v>
      </c>
      <c r="J57" s="24">
        <f t="shared" si="18"/>
        <v>87.16002799783809</v>
      </c>
      <c r="K57" s="21">
        <v>17900316.43</v>
      </c>
      <c r="L57" s="21">
        <v>17260457.44</v>
      </c>
      <c r="M57" s="25">
        <f t="shared" si="19"/>
        <v>0.03707080140976833</v>
      </c>
      <c r="N57" s="10"/>
      <c r="R57" s="2"/>
    </row>
    <row r="58" spans="1:18" ht="15.75" customHeight="1">
      <c r="A58" s="177"/>
      <c r="B58" s="20">
        <f>DATE(2015,2,1)</f>
        <v>42036</v>
      </c>
      <c r="C58" s="21">
        <v>419947</v>
      </c>
      <c r="D58" s="22">
        <v>431931</v>
      </c>
      <c r="E58" s="23">
        <f t="shared" si="15"/>
        <v>-0.027745172261310257</v>
      </c>
      <c r="F58" s="21">
        <f>+C58-224073</f>
        <v>195874</v>
      </c>
      <c r="G58" s="21">
        <f>+D58-228252</f>
        <v>203679</v>
      </c>
      <c r="H58" s="23">
        <f t="shared" si="16"/>
        <v>-0.038320101728700554</v>
      </c>
      <c r="I58" s="24">
        <f t="shared" si="17"/>
        <v>42.66099210138422</v>
      </c>
      <c r="J58" s="24">
        <f t="shared" si="18"/>
        <v>91.46367384134697</v>
      </c>
      <c r="K58" s="21">
        <v>17915355.65</v>
      </c>
      <c r="L58" s="21">
        <v>18029186.65</v>
      </c>
      <c r="M58" s="25">
        <f t="shared" si="19"/>
        <v>-0.0063137068914864225</v>
      </c>
      <c r="N58" s="10"/>
      <c r="R58" s="2"/>
    </row>
    <row r="59" spans="1:18" ht="15.75" customHeight="1">
      <c r="A59" s="177"/>
      <c r="B59" s="20">
        <f>DATE(2015,3,1)</f>
        <v>42064</v>
      </c>
      <c r="C59" s="21">
        <v>486628</v>
      </c>
      <c r="D59" s="22">
        <v>474289</v>
      </c>
      <c r="E59" s="23">
        <f t="shared" si="15"/>
        <v>0.026015783625595364</v>
      </c>
      <c r="F59" s="21">
        <f>+C59-262499</f>
        <v>224129</v>
      </c>
      <c r="G59" s="21">
        <f>+D59-249218</f>
        <v>225071</v>
      </c>
      <c r="H59" s="23">
        <f t="shared" si="16"/>
        <v>-0.004185345957497856</v>
      </c>
      <c r="I59" s="24">
        <f t="shared" si="17"/>
        <v>41.700155128763654</v>
      </c>
      <c r="J59" s="24">
        <f t="shared" si="18"/>
        <v>90.53921219476284</v>
      </c>
      <c r="K59" s="21">
        <v>20292463.09</v>
      </c>
      <c r="L59" s="21">
        <v>20336391.11</v>
      </c>
      <c r="M59" s="25">
        <f t="shared" si="19"/>
        <v>-0.0021600695896529477</v>
      </c>
      <c r="N59" s="10"/>
      <c r="R59" s="2"/>
    </row>
    <row r="60" spans="1:18" ht="15.75" customHeight="1">
      <c r="A60" s="177"/>
      <c r="B60" s="20">
        <f>DATE(2015,4,1)</f>
        <v>42095</v>
      </c>
      <c r="C60" s="21">
        <v>449038</v>
      </c>
      <c r="D60" s="22">
        <v>424771</v>
      </c>
      <c r="E60" s="23">
        <f t="shared" si="15"/>
        <v>0.05712960630551521</v>
      </c>
      <c r="F60" s="21">
        <f>+C60-242488</f>
        <v>206550</v>
      </c>
      <c r="G60" s="21">
        <f>+D60-222972</f>
        <v>201799</v>
      </c>
      <c r="H60" s="23">
        <f t="shared" si="16"/>
        <v>0.02354322865821932</v>
      </c>
      <c r="I60" s="24">
        <f t="shared" si="17"/>
        <v>40.6449837652938</v>
      </c>
      <c r="J60" s="24">
        <f t="shared" si="18"/>
        <v>88.36186017913337</v>
      </c>
      <c r="K60" s="21">
        <v>18251142.22</v>
      </c>
      <c r="L60" s="21">
        <v>18701822.26</v>
      </c>
      <c r="M60" s="25">
        <f t="shared" si="19"/>
        <v>-0.024098188600793748</v>
      </c>
      <c r="N60" s="10"/>
      <c r="R60" s="2"/>
    </row>
    <row r="61" spans="1:18" ht="15.75" customHeight="1">
      <c r="A61" s="177"/>
      <c r="B61" s="20">
        <f>DATE(2015,5,1)</f>
        <v>42125</v>
      </c>
      <c r="C61" s="21">
        <v>477078</v>
      </c>
      <c r="D61" s="22">
        <v>479663</v>
      </c>
      <c r="E61" s="23">
        <f t="shared" si="15"/>
        <v>-0.005389200334401444</v>
      </c>
      <c r="F61" s="21">
        <f>+C61-248622</f>
        <v>228456</v>
      </c>
      <c r="G61" s="21">
        <f>+D61-248092</f>
        <v>231571</v>
      </c>
      <c r="H61" s="23">
        <f t="shared" si="16"/>
        <v>-0.013451597998022206</v>
      </c>
      <c r="I61" s="24">
        <f t="shared" si="17"/>
        <v>41.25465037163734</v>
      </c>
      <c r="J61" s="24">
        <f t="shared" si="18"/>
        <v>86.15088283958399</v>
      </c>
      <c r="K61" s="21">
        <v>19681686.09</v>
      </c>
      <c r="L61" s="21">
        <v>19611852.63</v>
      </c>
      <c r="M61" s="25">
        <f t="shared" si="19"/>
        <v>0.003560778337339612</v>
      </c>
      <c r="N61" s="10"/>
      <c r="R61" s="2"/>
    </row>
    <row r="62" spans="1:18" ht="15.75" thickBot="1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Bot="1" thickTop="1">
      <c r="A63" s="39" t="s">
        <v>14</v>
      </c>
      <c r="B63" s="40"/>
      <c r="C63" s="41">
        <f>SUM(C51:C62)</f>
        <v>4743724</v>
      </c>
      <c r="D63" s="41">
        <f>SUM(D51:D62)</f>
        <v>5096907</v>
      </c>
      <c r="E63" s="283">
        <f>(+C63-D63)/D63</f>
        <v>-0.06929359315365181</v>
      </c>
      <c r="F63" s="41">
        <f>SUM(F51:F62)</f>
        <v>2267181</v>
      </c>
      <c r="G63" s="41">
        <f>SUM(G51:G62)</f>
        <v>2364195</v>
      </c>
      <c r="H63" s="42">
        <f>(+F63-G63)/G63</f>
        <v>-0.04103468622512103</v>
      </c>
      <c r="I63" s="43">
        <f>K63/C63</f>
        <v>42.29544980694492</v>
      </c>
      <c r="J63" s="43">
        <f>K63/F63</f>
        <v>88.49665745258098</v>
      </c>
      <c r="K63" s="41">
        <f>SUM(K51:K62)</f>
        <v>200637940.34</v>
      </c>
      <c r="L63" s="41">
        <f>SUM(L51:L62)</f>
        <v>205631531.61999995</v>
      </c>
      <c r="M63" s="44">
        <f>(+K63-L63)/L63</f>
        <v>-0.024284171015308723</v>
      </c>
      <c r="N63" s="10"/>
      <c r="R63" s="2"/>
    </row>
    <row r="64" spans="1:18" ht="15.75" thickTop="1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>
      <c r="A65" s="19" t="s">
        <v>16</v>
      </c>
      <c r="B65" s="20">
        <f>DATE(2014,7,1)</f>
        <v>41821</v>
      </c>
      <c r="C65" s="21">
        <v>319198</v>
      </c>
      <c r="D65" s="21">
        <v>328290</v>
      </c>
      <c r="E65" s="23">
        <f aca="true" t="shared" si="20" ref="E65:E75">(+C65-D65)/D65</f>
        <v>-0.027695025739437693</v>
      </c>
      <c r="F65" s="21">
        <f>+C65-151618</f>
        <v>167580</v>
      </c>
      <c r="G65" s="21">
        <f>+D65-151367</f>
        <v>176923</v>
      </c>
      <c r="H65" s="23">
        <f aca="true" t="shared" si="21" ref="H65:H75">(+F65-G65)/G65</f>
        <v>-0.05280828382968862</v>
      </c>
      <c r="I65" s="24">
        <f aca="true" t="shared" si="22" ref="I65:I75">K65/C65</f>
        <v>45.175578230440046</v>
      </c>
      <c r="J65" s="24">
        <f aca="true" t="shared" si="23" ref="J65:J75">K65/F65</f>
        <v>86.0481812865497</v>
      </c>
      <c r="K65" s="21">
        <v>14419954.22</v>
      </c>
      <c r="L65" s="21">
        <v>14865311.24</v>
      </c>
      <c r="M65" s="25">
        <f aca="true" t="shared" si="24" ref="M65:M75">(+K65-L65)/L65</f>
        <v>-0.02995948169599169</v>
      </c>
      <c r="N65" s="10"/>
      <c r="R65" s="2"/>
    </row>
    <row r="66" spans="1:18" ht="15.75">
      <c r="A66" s="19"/>
      <c r="B66" s="20">
        <f>DATE(2014,8,1)</f>
        <v>41852</v>
      </c>
      <c r="C66" s="21">
        <v>344204</v>
      </c>
      <c r="D66" s="21">
        <v>339771</v>
      </c>
      <c r="E66" s="23">
        <f t="shared" si="20"/>
        <v>0.013047022847741566</v>
      </c>
      <c r="F66" s="21">
        <f>+C66-162416</f>
        <v>181788</v>
      </c>
      <c r="G66" s="21">
        <f>+D66-158219</f>
        <v>181552</v>
      </c>
      <c r="H66" s="23">
        <f t="shared" si="21"/>
        <v>0.0012999030580770248</v>
      </c>
      <c r="I66" s="24">
        <f t="shared" si="22"/>
        <v>42.85400346887311</v>
      </c>
      <c r="J66" s="24">
        <f t="shared" si="23"/>
        <v>81.14132621515172</v>
      </c>
      <c r="K66" s="21">
        <v>14750519.41</v>
      </c>
      <c r="L66" s="21">
        <v>15514269.67</v>
      </c>
      <c r="M66" s="25">
        <f t="shared" si="24"/>
        <v>-0.04922888903219637</v>
      </c>
      <c r="N66" s="10"/>
      <c r="R66" s="2"/>
    </row>
    <row r="67" spans="1:18" ht="15.75">
      <c r="A67" s="19"/>
      <c r="B67" s="20">
        <f>DATE(2014,9,1)</f>
        <v>41883</v>
      </c>
      <c r="C67" s="21">
        <v>313842</v>
      </c>
      <c r="D67" s="21">
        <v>321452</v>
      </c>
      <c r="E67" s="23">
        <f t="shared" si="20"/>
        <v>-0.023673829996391373</v>
      </c>
      <c r="F67" s="21">
        <f>+C67-147906</f>
        <v>165936</v>
      </c>
      <c r="G67" s="21">
        <f>+D67-148195</f>
        <v>173257</v>
      </c>
      <c r="H67" s="23">
        <f t="shared" si="21"/>
        <v>-0.04225514697818847</v>
      </c>
      <c r="I67" s="24">
        <f t="shared" si="22"/>
        <v>45.35308298443166</v>
      </c>
      <c r="J67" s="24">
        <f t="shared" si="23"/>
        <v>85.77826553611031</v>
      </c>
      <c r="K67" s="21">
        <v>14233702.27</v>
      </c>
      <c r="L67" s="21">
        <v>14049207.19</v>
      </c>
      <c r="M67" s="25">
        <f t="shared" si="24"/>
        <v>0.013132063432826352</v>
      </c>
      <c r="N67" s="10"/>
      <c r="R67" s="2"/>
    </row>
    <row r="68" spans="1:18" ht="15.75">
      <c r="A68" s="19"/>
      <c r="B68" s="20">
        <f>DATE(2014,10,1)</f>
        <v>41913</v>
      </c>
      <c r="C68" s="21">
        <v>313776</v>
      </c>
      <c r="D68" s="21">
        <v>324126</v>
      </c>
      <c r="E68" s="23">
        <f t="shared" si="20"/>
        <v>-0.03193202643416449</v>
      </c>
      <c r="F68" s="21">
        <f>C68-151498</f>
        <v>162278</v>
      </c>
      <c r="G68" s="21">
        <f>D68-149108</f>
        <v>175018</v>
      </c>
      <c r="H68" s="23">
        <f t="shared" si="21"/>
        <v>-0.07279251277011507</v>
      </c>
      <c r="I68" s="24">
        <f t="shared" si="22"/>
        <v>46.82070932767325</v>
      </c>
      <c r="J68" s="24">
        <f t="shared" si="23"/>
        <v>90.53115573275491</v>
      </c>
      <c r="K68" s="21">
        <v>14691214.89</v>
      </c>
      <c r="L68" s="21">
        <v>15712922.04</v>
      </c>
      <c r="M68" s="25">
        <f t="shared" si="24"/>
        <v>-0.06502337040806692</v>
      </c>
      <c r="N68" s="10"/>
      <c r="R68" s="2"/>
    </row>
    <row r="69" spans="1:18" ht="15.75">
      <c r="A69" s="19"/>
      <c r="B69" s="20">
        <f>DATE(2014,11,1)</f>
        <v>41944</v>
      </c>
      <c r="C69" s="21">
        <v>315173</v>
      </c>
      <c r="D69" s="22">
        <v>334601</v>
      </c>
      <c r="E69" s="23">
        <f t="shared" si="20"/>
        <v>-0.05806318570476478</v>
      </c>
      <c r="F69" s="21">
        <f>C69-150832</f>
        <v>164341</v>
      </c>
      <c r="G69" s="21">
        <f>D69-156770</f>
        <v>177831</v>
      </c>
      <c r="H69" s="23">
        <f t="shared" si="21"/>
        <v>-0.07585853984963252</v>
      </c>
      <c r="I69" s="24">
        <f t="shared" si="22"/>
        <v>45.688438159360096</v>
      </c>
      <c r="J69" s="24">
        <f t="shared" si="23"/>
        <v>87.62123949592615</v>
      </c>
      <c r="K69" s="21">
        <v>14399762.12</v>
      </c>
      <c r="L69" s="21">
        <v>15616567.66</v>
      </c>
      <c r="M69" s="25">
        <f t="shared" si="24"/>
        <v>-0.07791760433483122</v>
      </c>
      <c r="N69" s="10"/>
      <c r="R69" s="2"/>
    </row>
    <row r="70" spans="1:18" ht="15.75">
      <c r="A70" s="19"/>
      <c r="B70" s="20">
        <f>DATE(2014,12,1)</f>
        <v>41974</v>
      </c>
      <c r="C70" s="21">
        <v>326322</v>
      </c>
      <c r="D70" s="22">
        <v>301819</v>
      </c>
      <c r="E70" s="23">
        <f t="shared" si="20"/>
        <v>0.081184418475974</v>
      </c>
      <c r="F70" s="21">
        <f>+C70-157877</f>
        <v>168445</v>
      </c>
      <c r="G70" s="21">
        <f>+D70-143369</f>
        <v>158450</v>
      </c>
      <c r="H70" s="23">
        <f t="shared" si="21"/>
        <v>0.06307983591038183</v>
      </c>
      <c r="I70" s="24">
        <f t="shared" si="22"/>
        <v>44.4901941027574</v>
      </c>
      <c r="J70" s="24">
        <f t="shared" si="23"/>
        <v>86.18913663213512</v>
      </c>
      <c r="K70" s="21">
        <v>14518129.12</v>
      </c>
      <c r="L70" s="21">
        <v>13194694.81</v>
      </c>
      <c r="M70" s="25">
        <f t="shared" si="24"/>
        <v>0.10030048660140238</v>
      </c>
      <c r="N70" s="10"/>
      <c r="R70" s="2"/>
    </row>
    <row r="71" spans="1:18" ht="15.75">
      <c r="A71" s="19"/>
      <c r="B71" s="20">
        <f>DATE(2015,1,1)</f>
        <v>42005</v>
      </c>
      <c r="C71" s="21">
        <v>317924</v>
      </c>
      <c r="D71" s="22">
        <v>289898</v>
      </c>
      <c r="E71" s="23">
        <f t="shared" si="20"/>
        <v>0.09667538237587013</v>
      </c>
      <c r="F71" s="21">
        <f>+C71-154706</f>
        <v>163218</v>
      </c>
      <c r="G71" s="21">
        <f>+D71-137514</f>
        <v>152384</v>
      </c>
      <c r="H71" s="23">
        <f t="shared" si="21"/>
        <v>0.07109670306593868</v>
      </c>
      <c r="I71" s="24">
        <f t="shared" si="22"/>
        <v>44.30899391049433</v>
      </c>
      <c r="J71" s="24">
        <f t="shared" si="23"/>
        <v>86.3072245708194</v>
      </c>
      <c r="K71" s="21">
        <v>14086892.58</v>
      </c>
      <c r="L71" s="21">
        <v>12880476.39</v>
      </c>
      <c r="M71" s="25">
        <f t="shared" si="24"/>
        <v>0.09366238898870412</v>
      </c>
      <c r="N71" s="10"/>
      <c r="R71" s="2"/>
    </row>
    <row r="72" spans="1:18" ht="15.75">
      <c r="A72" s="19"/>
      <c r="B72" s="20">
        <f>DATE(2015,2,1)</f>
        <v>42036</v>
      </c>
      <c r="C72" s="21">
        <v>303822</v>
      </c>
      <c r="D72" s="22">
        <v>304239</v>
      </c>
      <c r="E72" s="23">
        <f t="shared" si="20"/>
        <v>-0.0013706329563270981</v>
      </c>
      <c r="F72" s="21">
        <f>+C72-148098</f>
        <v>155724</v>
      </c>
      <c r="G72" s="21">
        <f>+D72-147092</f>
        <v>157147</v>
      </c>
      <c r="H72" s="23">
        <f t="shared" si="21"/>
        <v>-0.00905521581703755</v>
      </c>
      <c r="I72" s="24">
        <f t="shared" si="22"/>
        <v>45.6429906985011</v>
      </c>
      <c r="J72" s="24">
        <f t="shared" si="23"/>
        <v>89.05078677660477</v>
      </c>
      <c r="K72" s="21">
        <v>13867344.72</v>
      </c>
      <c r="L72" s="21">
        <v>13404922.2</v>
      </c>
      <c r="M72" s="25">
        <f t="shared" si="24"/>
        <v>0.034496471751249806</v>
      </c>
      <c r="N72" s="10"/>
      <c r="R72" s="2"/>
    </row>
    <row r="73" spans="1:18" ht="15.75">
      <c r="A73" s="19"/>
      <c r="B73" s="20">
        <f>DATE(2015,3,1)</f>
        <v>42064</v>
      </c>
      <c r="C73" s="21">
        <v>335164</v>
      </c>
      <c r="D73" s="22">
        <v>357281</v>
      </c>
      <c r="E73" s="23">
        <f t="shared" si="20"/>
        <v>-0.0619036556659884</v>
      </c>
      <c r="F73" s="21">
        <f>+C73-162701</f>
        <v>172463</v>
      </c>
      <c r="G73" s="21">
        <f>+D73-171897</f>
        <v>185384</v>
      </c>
      <c r="H73" s="23">
        <f t="shared" si="21"/>
        <v>-0.06969857161351573</v>
      </c>
      <c r="I73" s="24">
        <f t="shared" si="22"/>
        <v>47.2064144717213</v>
      </c>
      <c r="J73" s="24">
        <f t="shared" si="23"/>
        <v>91.74078324046317</v>
      </c>
      <c r="K73" s="21">
        <v>15821890.7</v>
      </c>
      <c r="L73" s="21">
        <v>15535963.55</v>
      </c>
      <c r="M73" s="25">
        <f t="shared" si="24"/>
        <v>0.018404210918736258</v>
      </c>
      <c r="N73" s="10"/>
      <c r="R73" s="2"/>
    </row>
    <row r="74" spans="1:18" ht="15.75">
      <c r="A74" s="19"/>
      <c r="B74" s="20">
        <f>DATE(2015,4,1)</f>
        <v>42095</v>
      </c>
      <c r="C74" s="21">
        <v>299703</v>
      </c>
      <c r="D74" s="22">
        <v>324783</v>
      </c>
      <c r="E74" s="23">
        <f t="shared" si="20"/>
        <v>-0.07722079049703956</v>
      </c>
      <c r="F74" s="21">
        <f>+C74-142665</f>
        <v>157038</v>
      </c>
      <c r="G74" s="21">
        <f>+D74-154190</f>
        <v>170593</v>
      </c>
      <c r="H74" s="23">
        <f t="shared" si="21"/>
        <v>-0.07945812547994349</v>
      </c>
      <c r="I74" s="24">
        <f t="shared" si="22"/>
        <v>47.73164282639814</v>
      </c>
      <c r="J74" s="24">
        <f t="shared" si="23"/>
        <v>91.09461754479808</v>
      </c>
      <c r="K74" s="21">
        <v>14305316.55</v>
      </c>
      <c r="L74" s="21">
        <v>14740785.09</v>
      </c>
      <c r="M74" s="25">
        <f t="shared" si="24"/>
        <v>-0.029541746748306952</v>
      </c>
      <c r="N74" s="10"/>
      <c r="R74" s="2"/>
    </row>
    <row r="75" spans="1:18" ht="15.75">
      <c r="A75" s="19"/>
      <c r="B75" s="20">
        <f>DATE(2015,5,1)</f>
        <v>42125</v>
      </c>
      <c r="C75" s="21">
        <v>332196</v>
      </c>
      <c r="D75" s="22">
        <v>332300</v>
      </c>
      <c r="E75" s="23">
        <f t="shared" si="20"/>
        <v>-0.00031297020764369546</v>
      </c>
      <c r="F75" s="21">
        <f>+C75-159692</f>
        <v>172504</v>
      </c>
      <c r="G75" s="21">
        <f>+D75-156275</f>
        <v>176025</v>
      </c>
      <c r="H75" s="23">
        <f t="shared" si="21"/>
        <v>-0.02000284050561</v>
      </c>
      <c r="I75" s="24">
        <f t="shared" si="22"/>
        <v>47.68347409360739</v>
      </c>
      <c r="J75" s="24">
        <f t="shared" si="23"/>
        <v>91.82546120669666</v>
      </c>
      <c r="K75" s="21">
        <v>15840259.36</v>
      </c>
      <c r="L75" s="21">
        <v>15968172.44</v>
      </c>
      <c r="M75" s="25">
        <f t="shared" si="24"/>
        <v>-0.008010502171155166</v>
      </c>
      <c r="N75" s="10"/>
      <c r="R75" s="2"/>
    </row>
    <row r="76" spans="1:18" ht="15.75" thickBot="1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Bot="1" thickTop="1">
      <c r="A77" s="39" t="s">
        <v>14</v>
      </c>
      <c r="B77" s="40"/>
      <c r="C77" s="41">
        <f>SUM(C65:C76)</f>
        <v>3521324</v>
      </c>
      <c r="D77" s="41">
        <f>SUM(D65:D76)</f>
        <v>3558560</v>
      </c>
      <c r="E77" s="284">
        <f>(+C77-D77)/D77</f>
        <v>-0.010463783103277731</v>
      </c>
      <c r="F77" s="47">
        <f>SUM(F65:F76)</f>
        <v>1831315</v>
      </c>
      <c r="G77" s="48">
        <f>SUM(G65:G76)</f>
        <v>1884564</v>
      </c>
      <c r="H77" s="49">
        <f>(+F77-G77)/G77</f>
        <v>-0.02825534181911572</v>
      </c>
      <c r="I77" s="50">
        <f>K77/C77</f>
        <v>45.70297590906148</v>
      </c>
      <c r="J77" s="51">
        <f>K77/F77</f>
        <v>87.87946690765925</v>
      </c>
      <c r="K77" s="48">
        <f>SUM(K65:K76)</f>
        <v>160934985.94</v>
      </c>
      <c r="L77" s="47">
        <f>SUM(L65:L76)</f>
        <v>161483292.28</v>
      </c>
      <c r="M77" s="44">
        <f>(+K77-L77)/L77</f>
        <v>-0.0033954369660068686</v>
      </c>
      <c r="N77" s="10"/>
      <c r="R77" s="2"/>
    </row>
    <row r="78" spans="1:18" ht="15.75" customHeight="1" thickTop="1">
      <c r="A78" s="275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>
      <c r="A79" s="276" t="s">
        <v>68</v>
      </c>
      <c r="B79" s="20">
        <f>DATE(2014,7,1)</f>
        <v>41821</v>
      </c>
      <c r="C79" s="21">
        <v>169515</v>
      </c>
      <c r="D79" s="21">
        <v>165951</v>
      </c>
      <c r="E79" s="23">
        <f aca="true" t="shared" si="25" ref="E79:E89">(+C79-D79)/D79</f>
        <v>0.021476218883887413</v>
      </c>
      <c r="F79" s="21">
        <f>+C79-78908</f>
        <v>90607</v>
      </c>
      <c r="G79" s="21">
        <f>+D79-83581</f>
        <v>82370</v>
      </c>
      <c r="H79" s="23">
        <f aca="true" t="shared" si="26" ref="H79:H89">(+F79-G79)/G79</f>
        <v>0.1</v>
      </c>
      <c r="I79" s="24">
        <f aca="true" t="shared" si="27" ref="I79:I89">K79/C79</f>
        <v>31.652223402058816</v>
      </c>
      <c r="J79" s="24">
        <f aca="true" t="shared" si="28" ref="J79:J89">K79/F79</f>
        <v>59.21757314556271</v>
      </c>
      <c r="K79" s="21">
        <v>5365526.65</v>
      </c>
      <c r="L79" s="21">
        <v>4860646.89</v>
      </c>
      <c r="M79" s="25">
        <f aca="true" t="shared" si="29" ref="M79:M89">(+K79-L79)/L79</f>
        <v>0.10387089855029578</v>
      </c>
      <c r="N79" s="10"/>
      <c r="R79" s="2"/>
    </row>
    <row r="80" spans="1:18" ht="15.75">
      <c r="A80" s="276"/>
      <c r="B80" s="20">
        <f>DATE(2014,8,1)</f>
        <v>41852</v>
      </c>
      <c r="C80" s="21">
        <v>181287</v>
      </c>
      <c r="D80" s="21">
        <v>175697</v>
      </c>
      <c r="E80" s="23">
        <f t="shared" si="25"/>
        <v>0.031816138010324596</v>
      </c>
      <c r="F80" s="21">
        <f>+C80-83317</f>
        <v>97970</v>
      </c>
      <c r="G80" s="21">
        <f>+D80-88595</f>
        <v>87102</v>
      </c>
      <c r="H80" s="23">
        <f t="shared" si="26"/>
        <v>0.12477325434548</v>
      </c>
      <c r="I80" s="24">
        <f t="shared" si="27"/>
        <v>31.75434134824891</v>
      </c>
      <c r="J80" s="24">
        <f t="shared" si="28"/>
        <v>58.75930672654895</v>
      </c>
      <c r="K80" s="21">
        <v>5756649.28</v>
      </c>
      <c r="L80" s="21">
        <v>5163507.96</v>
      </c>
      <c r="M80" s="25">
        <f t="shared" si="29"/>
        <v>0.11487177411071528</v>
      </c>
      <c r="N80" s="10"/>
      <c r="R80" s="2"/>
    </row>
    <row r="81" spans="1:18" ht="15.75">
      <c r="A81" s="276"/>
      <c r="B81" s="20">
        <f>DATE(2014,9,1)</f>
        <v>41883</v>
      </c>
      <c r="C81" s="21">
        <v>150132</v>
      </c>
      <c r="D81" s="21">
        <v>144756</v>
      </c>
      <c r="E81" s="23">
        <f t="shared" si="25"/>
        <v>0.03713835695929702</v>
      </c>
      <c r="F81" s="21">
        <f>+C81-69946</f>
        <v>80186</v>
      </c>
      <c r="G81" s="21">
        <f>+D81-74140</f>
        <v>70616</v>
      </c>
      <c r="H81" s="23">
        <f t="shared" si="26"/>
        <v>0.1355216948000453</v>
      </c>
      <c r="I81" s="24">
        <f t="shared" si="27"/>
        <v>31.641979591292994</v>
      </c>
      <c r="J81" s="24">
        <f t="shared" si="28"/>
        <v>59.24318060509315</v>
      </c>
      <c r="K81" s="21">
        <v>4750473.68</v>
      </c>
      <c r="L81" s="21">
        <v>4610007.6</v>
      </c>
      <c r="M81" s="25">
        <f t="shared" si="29"/>
        <v>0.030469815277527977</v>
      </c>
      <c r="N81" s="10"/>
      <c r="R81" s="2"/>
    </row>
    <row r="82" spans="1:18" ht="15.75">
      <c r="A82" s="276"/>
      <c r="B82" s="20">
        <f>DATE(2014,10,1)</f>
        <v>41913</v>
      </c>
      <c r="C82" s="21">
        <v>160851</v>
      </c>
      <c r="D82" s="21">
        <v>131947</v>
      </c>
      <c r="E82" s="23">
        <f t="shared" si="25"/>
        <v>0.2190576519360046</v>
      </c>
      <c r="F82" s="21">
        <f>+C82-74039</f>
        <v>86812</v>
      </c>
      <c r="G82" s="21">
        <f>D82-66592</f>
        <v>65355</v>
      </c>
      <c r="H82" s="23">
        <f t="shared" si="26"/>
        <v>0.32831458954938414</v>
      </c>
      <c r="I82" s="24">
        <f t="shared" si="27"/>
        <v>31.993982629887284</v>
      </c>
      <c r="J82" s="24">
        <f t="shared" si="28"/>
        <v>59.28056144311846</v>
      </c>
      <c r="K82" s="21">
        <v>5146264.1</v>
      </c>
      <c r="L82" s="21">
        <v>4249655.2</v>
      </c>
      <c r="M82" s="25">
        <f t="shared" si="29"/>
        <v>0.21098391700107796</v>
      </c>
      <c r="N82" s="10"/>
      <c r="R82" s="2"/>
    </row>
    <row r="83" spans="1:18" ht="15.75">
      <c r="A83" s="276"/>
      <c r="B83" s="20">
        <f>DATE(2014,11,1)</f>
        <v>41944</v>
      </c>
      <c r="C83" s="21">
        <v>159639</v>
      </c>
      <c r="D83" s="22">
        <v>142720</v>
      </c>
      <c r="E83" s="23">
        <f t="shared" si="25"/>
        <v>0.11854680493273542</v>
      </c>
      <c r="F83" s="21">
        <f>+C83-75628</f>
        <v>84011</v>
      </c>
      <c r="G83" s="21">
        <f>D83-74196</f>
        <v>68524</v>
      </c>
      <c r="H83" s="23">
        <f t="shared" si="26"/>
        <v>0.22600840581402137</v>
      </c>
      <c r="I83" s="24">
        <f t="shared" si="27"/>
        <v>31.23388351217434</v>
      </c>
      <c r="J83" s="24">
        <f t="shared" si="28"/>
        <v>59.351107950149384</v>
      </c>
      <c r="K83" s="21">
        <v>4986145.93</v>
      </c>
      <c r="L83" s="21">
        <v>4669598.79</v>
      </c>
      <c r="M83" s="25">
        <f t="shared" si="29"/>
        <v>0.06778893738748798</v>
      </c>
      <c r="N83" s="10"/>
      <c r="R83" s="2"/>
    </row>
    <row r="84" spans="1:18" ht="15.75">
      <c r="A84" s="276"/>
      <c r="B84" s="20">
        <f>DATE(2014,12,1)</f>
        <v>41974</v>
      </c>
      <c r="C84" s="21">
        <v>160372</v>
      </c>
      <c r="D84" s="22">
        <v>139569</v>
      </c>
      <c r="E84" s="23">
        <f t="shared" si="25"/>
        <v>0.14905172352026597</v>
      </c>
      <c r="F84" s="21">
        <f>+C84-75831</f>
        <v>84541</v>
      </c>
      <c r="G84" s="21">
        <f>+D84-73033</f>
        <v>66536</v>
      </c>
      <c r="H84" s="23">
        <f t="shared" si="26"/>
        <v>0.270605386557653</v>
      </c>
      <c r="I84" s="24">
        <f t="shared" si="27"/>
        <v>32.02925510687651</v>
      </c>
      <c r="J84" s="24">
        <f t="shared" si="28"/>
        <v>60.75863427212832</v>
      </c>
      <c r="K84" s="21">
        <v>5136595.7</v>
      </c>
      <c r="L84" s="21">
        <v>4549065.88</v>
      </c>
      <c r="M84" s="25">
        <f t="shared" si="29"/>
        <v>0.12915394841456995</v>
      </c>
      <c r="N84" s="10"/>
      <c r="R84" s="2"/>
    </row>
    <row r="85" spans="1:18" ht="15.75">
      <c r="A85" s="276"/>
      <c r="B85" s="20">
        <f>DATE(2015,1,1)</f>
        <v>42005</v>
      </c>
      <c r="C85" s="21">
        <v>164487</v>
      </c>
      <c r="D85" s="22">
        <v>135616</v>
      </c>
      <c r="E85" s="23">
        <f t="shared" si="25"/>
        <v>0.21288785983954694</v>
      </c>
      <c r="F85" s="21">
        <f>+C85-80335</f>
        <v>84152</v>
      </c>
      <c r="G85" s="21">
        <f>+D85-71656</f>
        <v>63960</v>
      </c>
      <c r="H85" s="23">
        <f t="shared" si="26"/>
        <v>0.31569731081926206</v>
      </c>
      <c r="I85" s="24">
        <f t="shared" si="27"/>
        <v>32.46986175199256</v>
      </c>
      <c r="J85" s="24">
        <f t="shared" si="28"/>
        <v>63.46694255632665</v>
      </c>
      <c r="K85" s="21">
        <v>5340870.15</v>
      </c>
      <c r="L85" s="21">
        <v>4566657.25</v>
      </c>
      <c r="M85" s="25">
        <f t="shared" si="29"/>
        <v>0.1695360211235473</v>
      </c>
      <c r="N85" s="10"/>
      <c r="R85" s="2"/>
    </row>
    <row r="86" spans="1:18" ht="15.75">
      <c r="A86" s="276"/>
      <c r="B86" s="20">
        <f>DATE(2015,2,1)</f>
        <v>42036</v>
      </c>
      <c r="C86" s="21">
        <v>161414</v>
      </c>
      <c r="D86" s="22">
        <v>152539</v>
      </c>
      <c r="E86" s="23">
        <f t="shared" si="25"/>
        <v>0.058181842020729124</v>
      </c>
      <c r="F86" s="21">
        <f>+C86-78334</f>
        <v>83080</v>
      </c>
      <c r="G86" s="21">
        <f>+D86-77833</f>
        <v>74706</v>
      </c>
      <c r="H86" s="23">
        <f t="shared" si="26"/>
        <v>0.11209273686183172</v>
      </c>
      <c r="I86" s="24">
        <f t="shared" si="27"/>
        <v>33.12034643835107</v>
      </c>
      <c r="J86" s="24">
        <f t="shared" si="28"/>
        <v>64.34867116032738</v>
      </c>
      <c r="K86" s="21">
        <v>5346087.6</v>
      </c>
      <c r="L86" s="21">
        <v>4805468.72</v>
      </c>
      <c r="M86" s="25">
        <f t="shared" si="29"/>
        <v>0.11250075934320095</v>
      </c>
      <c r="N86" s="10"/>
      <c r="R86" s="2"/>
    </row>
    <row r="87" spans="1:18" ht="15.75">
      <c r="A87" s="276"/>
      <c r="B87" s="20">
        <f>DATE(2015,3,1)</f>
        <v>42064</v>
      </c>
      <c r="C87" s="21">
        <v>162913</v>
      </c>
      <c r="D87" s="22">
        <v>159002</v>
      </c>
      <c r="E87" s="23">
        <f t="shared" si="25"/>
        <v>0.02459717487830342</v>
      </c>
      <c r="F87" s="21">
        <f>+C87-80122</f>
        <v>82791</v>
      </c>
      <c r="G87" s="21">
        <f>+D87-80119</f>
        <v>78883</v>
      </c>
      <c r="H87" s="23">
        <f t="shared" si="26"/>
        <v>0.04954172635422081</v>
      </c>
      <c r="I87" s="24">
        <f t="shared" si="27"/>
        <v>35.41145384346246</v>
      </c>
      <c r="J87" s="24">
        <f t="shared" si="28"/>
        <v>69.68132019180828</v>
      </c>
      <c r="K87" s="21">
        <v>5768986.18</v>
      </c>
      <c r="L87" s="21">
        <v>5260672.44</v>
      </c>
      <c r="M87" s="25">
        <f t="shared" si="29"/>
        <v>0.09662524055574905</v>
      </c>
      <c r="N87" s="10"/>
      <c r="R87" s="2"/>
    </row>
    <row r="88" spans="1:18" ht="15.75">
      <c r="A88" s="276"/>
      <c r="B88" s="20">
        <f>DATE(2015,4,1)</f>
        <v>42095</v>
      </c>
      <c r="C88" s="21">
        <v>148192</v>
      </c>
      <c r="D88" s="22">
        <v>144594</v>
      </c>
      <c r="E88" s="23">
        <f t="shared" si="25"/>
        <v>0.024883466810517726</v>
      </c>
      <c r="F88" s="21">
        <f>+C88-70503</f>
        <v>77689</v>
      </c>
      <c r="G88" s="21">
        <f>+D88-68991</f>
        <v>75603</v>
      </c>
      <c r="H88" s="23">
        <f t="shared" si="26"/>
        <v>0.027591497691890534</v>
      </c>
      <c r="I88" s="24">
        <f t="shared" si="27"/>
        <v>34.28634163787519</v>
      </c>
      <c r="J88" s="24">
        <f t="shared" si="28"/>
        <v>65.40129928303878</v>
      </c>
      <c r="K88" s="21">
        <v>5080961.54</v>
      </c>
      <c r="L88" s="21">
        <v>4977618.65</v>
      </c>
      <c r="M88" s="25">
        <f t="shared" si="29"/>
        <v>0.02076151213391963</v>
      </c>
      <c r="N88" s="10"/>
      <c r="R88" s="2"/>
    </row>
    <row r="89" spans="1:18" ht="15.75">
      <c r="A89" s="276"/>
      <c r="B89" s="20">
        <f>DATE(2015,5,1)</f>
        <v>42125</v>
      </c>
      <c r="C89" s="21">
        <v>159690</v>
      </c>
      <c r="D89" s="22">
        <v>149300</v>
      </c>
      <c r="E89" s="23">
        <f t="shared" si="25"/>
        <v>0.0695914266577361</v>
      </c>
      <c r="F89" s="21">
        <f>+C89-76885</f>
        <v>82805</v>
      </c>
      <c r="G89" s="21">
        <f>+D89-71705</f>
        <v>77595</v>
      </c>
      <c r="H89" s="23">
        <f t="shared" si="26"/>
        <v>0.06714350151427283</v>
      </c>
      <c r="I89" s="24">
        <f t="shared" si="27"/>
        <v>33.98644736677313</v>
      </c>
      <c r="J89" s="24">
        <f t="shared" si="28"/>
        <v>65.54309256687398</v>
      </c>
      <c r="K89" s="21">
        <v>5427295.78</v>
      </c>
      <c r="L89" s="21">
        <v>5095859.56</v>
      </c>
      <c r="M89" s="25">
        <f t="shared" si="29"/>
        <v>0.0650402971466507</v>
      </c>
      <c r="N89" s="10"/>
      <c r="R89" s="2"/>
    </row>
    <row r="90" spans="1:18" ht="15.75" customHeight="1" thickBot="1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customHeight="1" thickBot="1" thickTop="1">
      <c r="A91" s="39" t="s">
        <v>14</v>
      </c>
      <c r="B91" s="52"/>
      <c r="C91" s="47">
        <f>SUM(C79:C90)</f>
        <v>1778492</v>
      </c>
      <c r="D91" s="48">
        <f>SUM(D79:D90)</f>
        <v>1641691</v>
      </c>
      <c r="E91" s="284">
        <f>(+C91-D91)/D91</f>
        <v>0.08332932324048802</v>
      </c>
      <c r="F91" s="48">
        <f>SUM(F79:F90)</f>
        <v>934644</v>
      </c>
      <c r="G91" s="47">
        <f>SUM(G79:G90)</f>
        <v>811250</v>
      </c>
      <c r="H91" s="46">
        <f>(+F91-G91)/G91</f>
        <v>0.15210354391371342</v>
      </c>
      <c r="I91" s="51">
        <f>K91/C91</f>
        <v>32.671418589456685</v>
      </c>
      <c r="J91" s="50">
        <f>K91/F91</f>
        <v>62.16897191871986</v>
      </c>
      <c r="K91" s="47">
        <f>SUM(K79:K90)</f>
        <v>58105856.59</v>
      </c>
      <c r="L91" s="48">
        <f>SUM(L79:L90)</f>
        <v>52808758.94</v>
      </c>
      <c r="M91" s="44">
        <f>(+K91-L91)/L91</f>
        <v>0.10030717926960633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>
      <c r="A93" s="19" t="s">
        <v>17</v>
      </c>
      <c r="B93" s="20">
        <f>DATE(2014,7,1)</f>
        <v>41821</v>
      </c>
      <c r="C93" s="21">
        <v>237534</v>
      </c>
      <c r="D93" s="21">
        <v>238714</v>
      </c>
      <c r="E93" s="23">
        <f aca="true" t="shared" si="30" ref="E93:E103">(+C93-D93)/D93</f>
        <v>-0.004943153732081068</v>
      </c>
      <c r="F93" s="21">
        <f>+C93-122793</f>
        <v>114741</v>
      </c>
      <c r="G93" s="21">
        <f>+D93-112243</f>
        <v>126471</v>
      </c>
      <c r="H93" s="23">
        <f aca="true" t="shared" si="31" ref="H93:H103">(+F93-G93)/G93</f>
        <v>-0.09274853523732714</v>
      </c>
      <c r="I93" s="24">
        <f aca="true" t="shared" si="32" ref="I93:I103">K93/C93</f>
        <v>26.70813475123561</v>
      </c>
      <c r="J93" s="24">
        <f aca="true" t="shared" si="33" ref="J93:J103">K93/F93</f>
        <v>55.290524572733375</v>
      </c>
      <c r="K93" s="21">
        <v>6344090.08</v>
      </c>
      <c r="L93" s="21">
        <v>6571271.23</v>
      </c>
      <c r="M93" s="25">
        <f aca="true" t="shared" si="34" ref="M93:M103">(+K93-L93)/L93</f>
        <v>-0.03457187232857536</v>
      </c>
      <c r="N93" s="10"/>
      <c r="R93" s="2"/>
    </row>
    <row r="94" spans="1:18" ht="15.75">
      <c r="A94" s="19"/>
      <c r="B94" s="20">
        <f>DATE(2014,8,1)</f>
        <v>41852</v>
      </c>
      <c r="C94" s="21">
        <v>229771</v>
      </c>
      <c r="D94" s="21">
        <v>242695</v>
      </c>
      <c r="E94" s="23">
        <f t="shared" si="30"/>
        <v>-0.053252024145532456</v>
      </c>
      <c r="F94" s="21">
        <f>+C94-114313</f>
        <v>115458</v>
      </c>
      <c r="G94" s="21">
        <f>+D94-116570</f>
        <v>126125</v>
      </c>
      <c r="H94" s="23">
        <f t="shared" si="31"/>
        <v>-0.08457482656095144</v>
      </c>
      <c r="I94" s="24">
        <f t="shared" si="32"/>
        <v>27.943566725130673</v>
      </c>
      <c r="J94" s="24">
        <f t="shared" si="33"/>
        <v>55.61001636958894</v>
      </c>
      <c r="K94" s="21">
        <v>6420621.27</v>
      </c>
      <c r="L94" s="21">
        <v>6532918.94</v>
      </c>
      <c r="M94" s="25">
        <f t="shared" si="34"/>
        <v>-0.017189509166020793</v>
      </c>
      <c r="N94" s="10"/>
      <c r="R94" s="2"/>
    </row>
    <row r="95" spans="1:18" ht="15.75">
      <c r="A95" s="19"/>
      <c r="B95" s="20">
        <f>DATE(2014,9,1)</f>
        <v>41883</v>
      </c>
      <c r="C95" s="21">
        <v>204323</v>
      </c>
      <c r="D95" s="21">
        <v>223266</v>
      </c>
      <c r="E95" s="23">
        <f t="shared" si="30"/>
        <v>-0.08484498311431207</v>
      </c>
      <c r="F95" s="21">
        <f>+C95-98157</f>
        <v>106166</v>
      </c>
      <c r="G95" s="21">
        <f>+D95-107094</f>
        <v>116172</v>
      </c>
      <c r="H95" s="23">
        <f t="shared" si="31"/>
        <v>-0.08613090934132149</v>
      </c>
      <c r="I95" s="24">
        <f t="shared" si="32"/>
        <v>29.48400302462278</v>
      </c>
      <c r="J95" s="24">
        <f t="shared" si="33"/>
        <v>56.74377813989413</v>
      </c>
      <c r="K95" s="21">
        <v>6024259.95</v>
      </c>
      <c r="L95" s="21">
        <v>6131290.82</v>
      </c>
      <c r="M95" s="25">
        <f t="shared" si="34"/>
        <v>-0.017456498662707393</v>
      </c>
      <c r="N95" s="10"/>
      <c r="R95" s="2"/>
    </row>
    <row r="96" spans="1:18" ht="15.75">
      <c r="A96" s="19"/>
      <c r="B96" s="20">
        <f>DATE(2014,10,1)</f>
        <v>41913</v>
      </c>
      <c r="C96" s="21">
        <v>210762</v>
      </c>
      <c r="D96" s="21">
        <v>220292</v>
      </c>
      <c r="E96" s="23">
        <f t="shared" si="30"/>
        <v>-0.04326076298730776</v>
      </c>
      <c r="F96" s="21">
        <f>C96-103458</f>
        <v>107304</v>
      </c>
      <c r="G96" s="21">
        <f>D96-108103</f>
        <v>112189</v>
      </c>
      <c r="H96" s="23">
        <f t="shared" si="31"/>
        <v>-0.04354259330237367</v>
      </c>
      <c r="I96" s="24">
        <f t="shared" si="32"/>
        <v>29.644767083250304</v>
      </c>
      <c r="J96" s="24">
        <f t="shared" si="33"/>
        <v>58.2270036531723</v>
      </c>
      <c r="K96" s="21">
        <v>6247990.4</v>
      </c>
      <c r="L96" s="21">
        <v>6233760.76</v>
      </c>
      <c r="M96" s="25">
        <f t="shared" si="34"/>
        <v>0.0022826734210442488</v>
      </c>
      <c r="N96" s="10"/>
      <c r="R96" s="2"/>
    </row>
    <row r="97" spans="1:18" ht="15.75">
      <c r="A97" s="19"/>
      <c r="B97" s="20">
        <f>DATE(2014,11,1)</f>
        <v>41944</v>
      </c>
      <c r="C97" s="21">
        <v>201690</v>
      </c>
      <c r="D97" s="22">
        <v>207358</v>
      </c>
      <c r="E97" s="23">
        <f t="shared" si="30"/>
        <v>-0.027334368579943865</v>
      </c>
      <c r="F97" s="21">
        <f>C97-98548</f>
        <v>103142</v>
      </c>
      <c r="G97" s="21">
        <f>D97-102857</f>
        <v>104501</v>
      </c>
      <c r="H97" s="23">
        <f t="shared" si="31"/>
        <v>-0.013004660242485718</v>
      </c>
      <c r="I97" s="24">
        <f t="shared" si="32"/>
        <v>30.465635480192372</v>
      </c>
      <c r="J97" s="24">
        <f t="shared" si="33"/>
        <v>59.57431521591592</v>
      </c>
      <c r="K97" s="21">
        <v>6144614.02</v>
      </c>
      <c r="L97" s="21">
        <v>6026158.01</v>
      </c>
      <c r="M97" s="25">
        <f t="shared" si="34"/>
        <v>0.019656970461682233</v>
      </c>
      <c r="N97" s="10"/>
      <c r="R97" s="2"/>
    </row>
    <row r="98" spans="1:18" ht="15.75">
      <c r="A98" s="19"/>
      <c r="B98" s="20">
        <f>DATE(2014,12,1)</f>
        <v>41974</v>
      </c>
      <c r="C98" s="21">
        <v>218773</v>
      </c>
      <c r="D98" s="22">
        <v>191095</v>
      </c>
      <c r="E98" s="23">
        <f t="shared" si="30"/>
        <v>0.14483895444674114</v>
      </c>
      <c r="F98" s="21">
        <f>+C98-109752</f>
        <v>109021</v>
      </c>
      <c r="G98" s="21">
        <f>+D98-95885</f>
        <v>95210</v>
      </c>
      <c r="H98" s="23">
        <f t="shared" si="31"/>
        <v>0.14505829219619787</v>
      </c>
      <c r="I98" s="24">
        <f t="shared" si="32"/>
        <v>29.768234791313372</v>
      </c>
      <c r="J98" s="24">
        <f t="shared" si="33"/>
        <v>59.736069472853856</v>
      </c>
      <c r="K98" s="21">
        <v>6512486.03</v>
      </c>
      <c r="L98" s="21">
        <v>5621672.12</v>
      </c>
      <c r="M98" s="25">
        <f t="shared" si="34"/>
        <v>0.15846066632573372</v>
      </c>
      <c r="N98" s="10"/>
      <c r="R98" s="2"/>
    </row>
    <row r="99" spans="1:18" ht="15.75">
      <c r="A99" s="19"/>
      <c r="B99" s="20">
        <f>DATE(2015,1,1)</f>
        <v>42005</v>
      </c>
      <c r="C99" s="21">
        <v>215579</v>
      </c>
      <c r="D99" s="22">
        <v>193382</v>
      </c>
      <c r="E99" s="23">
        <f t="shared" si="30"/>
        <v>0.11478317526967349</v>
      </c>
      <c r="F99" s="21">
        <f>+C99-109881</f>
        <v>105698</v>
      </c>
      <c r="G99" s="21">
        <f>+D99-96118</f>
        <v>97264</v>
      </c>
      <c r="H99" s="23">
        <f t="shared" si="31"/>
        <v>0.08671245270603718</v>
      </c>
      <c r="I99" s="24">
        <f t="shared" si="32"/>
        <v>29.11065590804299</v>
      </c>
      <c r="J99" s="24">
        <f t="shared" si="33"/>
        <v>59.373366478079056</v>
      </c>
      <c r="K99" s="21">
        <v>6275646.09</v>
      </c>
      <c r="L99" s="21">
        <v>5544998.94</v>
      </c>
      <c r="M99" s="25">
        <f t="shared" si="34"/>
        <v>0.13176686919258443</v>
      </c>
      <c r="N99" s="10"/>
      <c r="R99" s="2"/>
    </row>
    <row r="100" spans="1:18" ht="15.75">
      <c r="A100" s="19"/>
      <c r="B100" s="20">
        <f>DATE(2015,2,1)</f>
        <v>42036</v>
      </c>
      <c r="C100" s="21">
        <v>204920</v>
      </c>
      <c r="D100" s="22">
        <v>217031</v>
      </c>
      <c r="E100" s="23">
        <f t="shared" si="30"/>
        <v>-0.05580308803811437</v>
      </c>
      <c r="F100" s="21">
        <f>+C100-105398</f>
        <v>99522</v>
      </c>
      <c r="G100" s="21">
        <f>+D100-114289</f>
        <v>102742</v>
      </c>
      <c r="H100" s="23">
        <f t="shared" si="31"/>
        <v>-0.031340639660508846</v>
      </c>
      <c r="I100" s="24">
        <f t="shared" si="32"/>
        <v>33.27550512395081</v>
      </c>
      <c r="J100" s="24">
        <f t="shared" si="33"/>
        <v>68.51567000261248</v>
      </c>
      <c r="K100" s="21">
        <v>6818816.51</v>
      </c>
      <c r="L100" s="21">
        <v>6313036.04</v>
      </c>
      <c r="M100" s="25">
        <f t="shared" si="34"/>
        <v>0.08011683551231552</v>
      </c>
      <c r="N100" s="10"/>
      <c r="R100" s="2"/>
    </row>
    <row r="101" spans="1:18" ht="15.75">
      <c r="A101" s="19"/>
      <c r="B101" s="20">
        <f>DATE(2015,3,1)</f>
        <v>42064</v>
      </c>
      <c r="C101" s="21">
        <v>222369</v>
      </c>
      <c r="D101" s="22">
        <v>247052</v>
      </c>
      <c r="E101" s="23">
        <f t="shared" si="30"/>
        <v>-0.0999101403753056</v>
      </c>
      <c r="F101" s="21">
        <f>+C101-110859</f>
        <v>111510</v>
      </c>
      <c r="G101" s="21">
        <f>+D101-126139</f>
        <v>120913</v>
      </c>
      <c r="H101" s="23">
        <f t="shared" si="31"/>
        <v>-0.07776665867193767</v>
      </c>
      <c r="I101" s="24">
        <f t="shared" si="32"/>
        <v>32.830277781525304</v>
      </c>
      <c r="J101" s="24">
        <f t="shared" si="33"/>
        <v>65.46889104116222</v>
      </c>
      <c r="K101" s="21">
        <v>7300436.04</v>
      </c>
      <c r="L101" s="21">
        <v>7530993.03</v>
      </c>
      <c r="M101" s="25">
        <f t="shared" si="34"/>
        <v>-0.030614420844843115</v>
      </c>
      <c r="N101" s="10"/>
      <c r="R101" s="2"/>
    </row>
    <row r="102" spans="1:18" ht="15.75">
      <c r="A102" s="19"/>
      <c r="B102" s="20">
        <f>DATE(2015,4,1)</f>
        <v>42095</v>
      </c>
      <c r="C102" s="21">
        <v>212744</v>
      </c>
      <c r="D102" s="22">
        <v>216083</v>
      </c>
      <c r="E102" s="23">
        <f t="shared" si="30"/>
        <v>-0.015452395607243513</v>
      </c>
      <c r="F102" s="21">
        <f>+C102-108023</f>
        <v>104721</v>
      </c>
      <c r="G102" s="21">
        <f>+D102-109959</f>
        <v>106124</v>
      </c>
      <c r="H102" s="23">
        <f t="shared" si="31"/>
        <v>-0.013220383702084355</v>
      </c>
      <c r="I102" s="24">
        <f t="shared" si="32"/>
        <v>30.764271800849848</v>
      </c>
      <c r="J102" s="24">
        <f t="shared" si="33"/>
        <v>62.49858423811843</v>
      </c>
      <c r="K102" s="21">
        <v>6544914.24</v>
      </c>
      <c r="L102" s="21">
        <v>6337417.71</v>
      </c>
      <c r="M102" s="25">
        <f t="shared" si="34"/>
        <v>0.0327414949582044</v>
      </c>
      <c r="N102" s="10"/>
      <c r="R102" s="2"/>
    </row>
    <row r="103" spans="1:18" ht="15.75">
      <c r="A103" s="19"/>
      <c r="B103" s="20">
        <f>DATE(2015,5,1)</f>
        <v>42125</v>
      </c>
      <c r="C103" s="21">
        <v>227586</v>
      </c>
      <c r="D103" s="22">
        <v>239632</v>
      </c>
      <c r="E103" s="23">
        <f t="shared" si="30"/>
        <v>-0.0502687454096281</v>
      </c>
      <c r="F103" s="21">
        <f>+C103-116230</f>
        <v>111356</v>
      </c>
      <c r="G103" s="21">
        <f>+D103-126196</f>
        <v>113436</v>
      </c>
      <c r="H103" s="23">
        <f t="shared" si="31"/>
        <v>-0.018336330618145914</v>
      </c>
      <c r="I103" s="24">
        <f t="shared" si="32"/>
        <v>30.11196088511596</v>
      </c>
      <c r="J103" s="24">
        <f t="shared" si="33"/>
        <v>61.541908204317686</v>
      </c>
      <c r="K103" s="21">
        <v>6853060.73</v>
      </c>
      <c r="L103" s="21">
        <v>6561271.11</v>
      </c>
      <c r="M103" s="25">
        <f t="shared" si="34"/>
        <v>0.0444715078996332</v>
      </c>
      <c r="N103" s="10"/>
      <c r="R103" s="2"/>
    </row>
    <row r="104" spans="1:18" ht="15.75" customHeight="1" thickBot="1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25" customHeight="1" thickBot="1" thickTop="1">
      <c r="A105" s="39" t="s">
        <v>14</v>
      </c>
      <c r="B105" s="52"/>
      <c r="C105" s="47">
        <f>SUM(C93:C104)</f>
        <v>2386051</v>
      </c>
      <c r="D105" s="48">
        <f>SUM(D93:D104)</f>
        <v>2436600</v>
      </c>
      <c r="E105" s="284">
        <f>(+C105-D105)/D105</f>
        <v>-0.020745711236969548</v>
      </c>
      <c r="F105" s="48">
        <f>SUM(F93:F104)</f>
        <v>1188639</v>
      </c>
      <c r="G105" s="47">
        <f>SUM(G93:G104)</f>
        <v>1221147</v>
      </c>
      <c r="H105" s="53">
        <f>(+F105-G105)/G105</f>
        <v>-0.026620873654031825</v>
      </c>
      <c r="I105" s="51">
        <f>K105/C105</f>
        <v>29.960355147480083</v>
      </c>
      <c r="J105" s="50">
        <f>K105/F105</f>
        <v>60.14183899400911</v>
      </c>
      <c r="K105" s="47">
        <f>SUM(K93:K104)</f>
        <v>71486935.36</v>
      </c>
      <c r="L105" s="48">
        <f>SUM(L93:L104)</f>
        <v>69404788.71</v>
      </c>
      <c r="M105" s="44">
        <f>(+K105-L105)/L105</f>
        <v>0.03000004306187025</v>
      </c>
      <c r="N105" s="10"/>
      <c r="R105" s="2"/>
    </row>
    <row r="106" spans="1:18" ht="15.75" customHeight="1" thickTop="1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>
      <c r="A107" s="19" t="s">
        <v>69</v>
      </c>
      <c r="B107" s="20">
        <f>DATE(2014,7,1)</f>
        <v>41821</v>
      </c>
      <c r="C107" s="21">
        <v>381777</v>
      </c>
      <c r="D107" s="21">
        <v>376879</v>
      </c>
      <c r="E107" s="23">
        <f aca="true" t="shared" si="35" ref="E107:E117">(+C107-D107)/D107</f>
        <v>0.012996213638860218</v>
      </c>
      <c r="F107" s="21">
        <f>+C107-188816</f>
        <v>192961</v>
      </c>
      <c r="G107" s="21">
        <f>+D107-189072</f>
        <v>187807</v>
      </c>
      <c r="H107" s="23">
        <f aca="true" t="shared" si="36" ref="H107:H117">(+F107-G107)/G107</f>
        <v>0.027443066552364927</v>
      </c>
      <c r="I107" s="24">
        <f aca="true" t="shared" si="37" ref="I107:I117">K107/C107</f>
        <v>30.911281166754414</v>
      </c>
      <c r="J107" s="24">
        <f aca="true" t="shared" si="38" ref="J107:J117">K107/F107</f>
        <v>61.15855634040039</v>
      </c>
      <c r="K107" s="21">
        <v>11801216.19</v>
      </c>
      <c r="L107" s="21">
        <v>11369007.65</v>
      </c>
      <c r="M107" s="25">
        <f aca="true" t="shared" si="39" ref="M107:M117">(+K107-L107)/L107</f>
        <v>0.0380163821949754</v>
      </c>
      <c r="N107" s="10"/>
      <c r="R107" s="2"/>
    </row>
    <row r="108" spans="1:18" ht="15.75" customHeight="1">
      <c r="A108" s="19"/>
      <c r="B108" s="20">
        <f>DATE(2014,8,1)</f>
        <v>41852</v>
      </c>
      <c r="C108" s="21">
        <v>398587</v>
      </c>
      <c r="D108" s="21">
        <v>399184</v>
      </c>
      <c r="E108" s="23">
        <f t="shared" si="35"/>
        <v>-0.0014955509238847248</v>
      </c>
      <c r="F108" s="21">
        <f>+C108-196528</f>
        <v>202059</v>
      </c>
      <c r="G108" s="21">
        <f>+D108-197151</f>
        <v>202033</v>
      </c>
      <c r="H108" s="23">
        <f t="shared" si="36"/>
        <v>0.000128691847371469</v>
      </c>
      <c r="I108" s="24">
        <f t="shared" si="37"/>
        <v>32.28389488367659</v>
      </c>
      <c r="J108" s="24">
        <f t="shared" si="38"/>
        <v>63.684076482611516</v>
      </c>
      <c r="K108" s="21">
        <v>12867940.81</v>
      </c>
      <c r="L108" s="21">
        <v>12782620.55</v>
      </c>
      <c r="M108" s="25">
        <f t="shared" si="39"/>
        <v>0.00667470802768997</v>
      </c>
      <c r="N108" s="10"/>
      <c r="R108" s="2"/>
    </row>
    <row r="109" spans="1:18" ht="15.75" customHeight="1">
      <c r="A109" s="19"/>
      <c r="B109" s="20">
        <f>DATE(2014,9,1)</f>
        <v>41883</v>
      </c>
      <c r="C109" s="21">
        <v>349419</v>
      </c>
      <c r="D109" s="21">
        <v>372710</v>
      </c>
      <c r="E109" s="23">
        <f t="shared" si="35"/>
        <v>-0.062490944702315476</v>
      </c>
      <c r="F109" s="21">
        <f>+C109-171468</f>
        <v>177951</v>
      </c>
      <c r="G109" s="21">
        <f>+D109-184970</f>
        <v>187740</v>
      </c>
      <c r="H109" s="23">
        <f t="shared" si="36"/>
        <v>-0.05214125918823905</v>
      </c>
      <c r="I109" s="24">
        <f t="shared" si="37"/>
        <v>32.638578669162236</v>
      </c>
      <c r="J109" s="24">
        <f t="shared" si="38"/>
        <v>64.0880889683115</v>
      </c>
      <c r="K109" s="21">
        <v>11404539.52</v>
      </c>
      <c r="L109" s="21">
        <v>11827624.97</v>
      </c>
      <c r="M109" s="25">
        <f t="shared" si="39"/>
        <v>-0.03577095579823758</v>
      </c>
      <c r="N109" s="10"/>
      <c r="R109" s="2"/>
    </row>
    <row r="110" spans="1:18" ht="15.75" customHeight="1">
      <c r="A110" s="19"/>
      <c r="B110" s="20">
        <f>DATE(2014,10,1)</f>
        <v>41913</v>
      </c>
      <c r="C110" s="21">
        <v>346830</v>
      </c>
      <c r="D110" s="21">
        <v>357387</v>
      </c>
      <c r="E110" s="23">
        <f t="shared" si="35"/>
        <v>-0.0295394068614695</v>
      </c>
      <c r="F110" s="21">
        <f>C110-170451</f>
        <v>176379</v>
      </c>
      <c r="G110" s="21">
        <f>D110-179117</f>
        <v>178270</v>
      </c>
      <c r="H110" s="23">
        <f t="shared" si="36"/>
        <v>-0.010607505469232064</v>
      </c>
      <c r="I110" s="24">
        <f t="shared" si="37"/>
        <v>33.62628988265144</v>
      </c>
      <c r="J110" s="24">
        <f t="shared" si="38"/>
        <v>66.12241888206646</v>
      </c>
      <c r="K110" s="21">
        <v>11662606.12</v>
      </c>
      <c r="L110" s="21">
        <v>12208855.6</v>
      </c>
      <c r="M110" s="25">
        <f t="shared" si="39"/>
        <v>-0.044742070665493044</v>
      </c>
      <c r="N110" s="10"/>
      <c r="R110" s="2"/>
    </row>
    <row r="111" spans="1:18" ht="15.75" customHeight="1">
      <c r="A111" s="19"/>
      <c r="B111" s="20">
        <f>DATE(2014,11,1)</f>
        <v>41944</v>
      </c>
      <c r="C111" s="21">
        <v>318650</v>
      </c>
      <c r="D111" s="22">
        <v>379613</v>
      </c>
      <c r="E111" s="23">
        <f t="shared" si="35"/>
        <v>-0.16059249814943113</v>
      </c>
      <c r="F111" s="21">
        <f>C111-161543</f>
        <v>157107</v>
      </c>
      <c r="G111" s="21">
        <f>D111-192885</f>
        <v>186728</v>
      </c>
      <c r="H111" s="23">
        <f t="shared" si="36"/>
        <v>-0.15863180669208687</v>
      </c>
      <c r="I111" s="24">
        <f t="shared" si="37"/>
        <v>33.54413830221246</v>
      </c>
      <c r="J111" s="24">
        <f t="shared" si="38"/>
        <v>68.03541325338782</v>
      </c>
      <c r="K111" s="21">
        <v>10688839.67</v>
      </c>
      <c r="L111" s="21">
        <v>11314882.89</v>
      </c>
      <c r="M111" s="25">
        <f t="shared" si="39"/>
        <v>-0.055329182465802845</v>
      </c>
      <c r="N111" s="10"/>
      <c r="R111" s="2"/>
    </row>
    <row r="112" spans="1:18" ht="15.75" customHeight="1">
      <c r="A112" s="19"/>
      <c r="B112" s="20">
        <f>DATE(2014,12,1)</f>
        <v>41974</v>
      </c>
      <c r="C112" s="21">
        <v>309857</v>
      </c>
      <c r="D112" s="22">
        <v>363921</v>
      </c>
      <c r="E112" s="23">
        <f t="shared" si="35"/>
        <v>-0.14855971488317518</v>
      </c>
      <c r="F112" s="21">
        <f>+C112-156318</f>
        <v>153539</v>
      </c>
      <c r="G112" s="21">
        <f>+D112-187467</f>
        <v>176454</v>
      </c>
      <c r="H112" s="23">
        <f t="shared" si="36"/>
        <v>-0.12986387387081053</v>
      </c>
      <c r="I112" s="24">
        <f t="shared" si="37"/>
        <v>32.93029558796477</v>
      </c>
      <c r="J112" s="24">
        <f t="shared" si="38"/>
        <v>66.45661753691245</v>
      </c>
      <c r="K112" s="21">
        <v>10203682.6</v>
      </c>
      <c r="L112" s="21">
        <v>12076203.59</v>
      </c>
      <c r="M112" s="25">
        <f t="shared" si="39"/>
        <v>-0.15505874640525172</v>
      </c>
      <c r="N112" s="10"/>
      <c r="R112" s="2"/>
    </row>
    <row r="113" spans="1:18" ht="15.75" customHeight="1">
      <c r="A113" s="19"/>
      <c r="B113" s="20">
        <f>DATE(2015,1,1)</f>
        <v>42005</v>
      </c>
      <c r="C113" s="21">
        <v>294458</v>
      </c>
      <c r="D113" s="22">
        <v>329681</v>
      </c>
      <c r="E113" s="23">
        <f t="shared" si="35"/>
        <v>-0.106839641956922</v>
      </c>
      <c r="F113" s="21">
        <f>+C113-151506</f>
        <v>142952</v>
      </c>
      <c r="G113" s="21">
        <f>+D113-172089</f>
        <v>157592</v>
      </c>
      <c r="H113" s="23">
        <f t="shared" si="36"/>
        <v>-0.0928981166556678</v>
      </c>
      <c r="I113" s="24">
        <f t="shared" si="37"/>
        <v>35.828379123678076</v>
      </c>
      <c r="J113" s="24">
        <f t="shared" si="38"/>
        <v>73.80066637752532</v>
      </c>
      <c r="K113" s="21">
        <v>10549952.86</v>
      </c>
      <c r="L113" s="21">
        <v>10328332.36</v>
      </c>
      <c r="M113" s="25">
        <f t="shared" si="39"/>
        <v>0.021457529858189033</v>
      </c>
      <c r="N113" s="10"/>
      <c r="R113" s="2"/>
    </row>
    <row r="114" spans="1:18" ht="15.75" customHeight="1">
      <c r="A114" s="19"/>
      <c r="B114" s="20">
        <f>DATE(2015,2,1)</f>
        <v>42036</v>
      </c>
      <c r="C114" s="21">
        <v>336332</v>
      </c>
      <c r="D114" s="22">
        <v>374288</v>
      </c>
      <c r="E114" s="23">
        <f t="shared" si="35"/>
        <v>-0.10140854101654341</v>
      </c>
      <c r="F114" s="21">
        <f>+C114-177545</f>
        <v>158787</v>
      </c>
      <c r="G114" s="21">
        <f>+D114-195787</f>
        <v>178501</v>
      </c>
      <c r="H114" s="23">
        <f t="shared" si="36"/>
        <v>-0.11044195830835682</v>
      </c>
      <c r="I114" s="24">
        <f t="shared" si="37"/>
        <v>33.971234167429806</v>
      </c>
      <c r="J114" s="24">
        <f t="shared" si="38"/>
        <v>71.95559542028</v>
      </c>
      <c r="K114" s="21">
        <v>11425613.13</v>
      </c>
      <c r="L114" s="21">
        <v>12271260.53</v>
      </c>
      <c r="M114" s="25">
        <f t="shared" si="39"/>
        <v>-0.0689128388996887</v>
      </c>
      <c r="N114" s="10"/>
      <c r="R114" s="2"/>
    </row>
    <row r="115" spans="1:18" ht="15.75" customHeight="1">
      <c r="A115" s="19"/>
      <c r="B115" s="20">
        <f>DATE(2015,3,1)</f>
        <v>42064</v>
      </c>
      <c r="C115" s="21">
        <v>343952</v>
      </c>
      <c r="D115" s="22">
        <v>435105</v>
      </c>
      <c r="E115" s="23">
        <f t="shared" si="35"/>
        <v>-0.20949655830201905</v>
      </c>
      <c r="F115" s="21">
        <f>+C115-174544</f>
        <v>169408</v>
      </c>
      <c r="G115" s="21">
        <f>+D115-229636</f>
        <v>205469</v>
      </c>
      <c r="H115" s="23">
        <f t="shared" si="36"/>
        <v>-0.17550579406139125</v>
      </c>
      <c r="I115" s="24">
        <f t="shared" si="37"/>
        <v>35.66457488254175</v>
      </c>
      <c r="J115" s="24">
        <f t="shared" si="38"/>
        <v>72.41040482149603</v>
      </c>
      <c r="K115" s="21">
        <v>12266901.86</v>
      </c>
      <c r="L115" s="21">
        <v>13101249.26</v>
      </c>
      <c r="M115" s="25">
        <f t="shared" si="39"/>
        <v>-0.06368456804706274</v>
      </c>
      <c r="N115" s="10"/>
      <c r="R115" s="2"/>
    </row>
    <row r="116" spans="1:18" ht="15.75" customHeight="1">
      <c r="A116" s="19"/>
      <c r="B116" s="20">
        <f>DATE(2015,4,1)</f>
        <v>42095</v>
      </c>
      <c r="C116" s="21">
        <v>315572</v>
      </c>
      <c r="D116" s="22">
        <v>364621</v>
      </c>
      <c r="E116" s="23">
        <f t="shared" si="35"/>
        <v>-0.13452050211041053</v>
      </c>
      <c r="F116" s="21">
        <f>+C116-158187</f>
        <v>157385</v>
      </c>
      <c r="G116" s="21">
        <f>+D116-184766</f>
        <v>179855</v>
      </c>
      <c r="H116" s="23">
        <f t="shared" si="36"/>
        <v>-0.12493397459064247</v>
      </c>
      <c r="I116" s="24">
        <f t="shared" si="37"/>
        <v>34.05585663493592</v>
      </c>
      <c r="J116" s="24">
        <f t="shared" si="38"/>
        <v>68.28525456682657</v>
      </c>
      <c r="K116" s="21">
        <v>10747074.79</v>
      </c>
      <c r="L116" s="21">
        <v>11115020.04</v>
      </c>
      <c r="M116" s="25">
        <f t="shared" si="39"/>
        <v>-0.03310342659535142</v>
      </c>
      <c r="N116" s="10"/>
      <c r="R116" s="2"/>
    </row>
    <row r="117" spans="1:18" ht="15.75" customHeight="1">
      <c r="A117" s="19"/>
      <c r="B117" s="20">
        <f>DATE(2015,5,1)</f>
        <v>42125</v>
      </c>
      <c r="C117" s="21">
        <v>331601</v>
      </c>
      <c r="D117" s="22">
        <v>463093</v>
      </c>
      <c r="E117" s="23">
        <f t="shared" si="35"/>
        <v>-0.28394296609968195</v>
      </c>
      <c r="F117" s="21">
        <f>+C117-166031</f>
        <v>165570</v>
      </c>
      <c r="G117" s="21">
        <f>+D117-226940</f>
        <v>236153</v>
      </c>
      <c r="H117" s="23">
        <f t="shared" si="36"/>
        <v>-0.29888673868212556</v>
      </c>
      <c r="I117" s="24">
        <f t="shared" si="37"/>
        <v>35.92410001779247</v>
      </c>
      <c r="J117" s="24">
        <f t="shared" si="38"/>
        <v>71.94822425560186</v>
      </c>
      <c r="K117" s="21">
        <v>11912467.49</v>
      </c>
      <c r="L117" s="21">
        <v>14170350.65</v>
      </c>
      <c r="M117" s="25">
        <f t="shared" si="39"/>
        <v>-0.15933855243024633</v>
      </c>
      <c r="N117" s="10"/>
      <c r="R117" s="2"/>
    </row>
    <row r="118" spans="1:18" ht="15.75" customHeight="1" thickBot="1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7.25" thickBot="1" thickTop="1">
      <c r="A119" s="39" t="s">
        <v>14</v>
      </c>
      <c r="B119" s="40"/>
      <c r="C119" s="41">
        <f>SUM(C107:C118)</f>
        <v>3727035</v>
      </c>
      <c r="D119" s="41">
        <f>SUM(D107:D118)</f>
        <v>4216482</v>
      </c>
      <c r="E119" s="283">
        <f>(+C119-D119)/D119</f>
        <v>-0.11607947099027104</v>
      </c>
      <c r="F119" s="41">
        <f>SUM(F107:F118)</f>
        <v>1854098</v>
      </c>
      <c r="G119" s="41">
        <f>SUM(G107:G118)</f>
        <v>2076602</v>
      </c>
      <c r="H119" s="42">
        <f>(+F119-G119)/G119</f>
        <v>-0.10714811986119632</v>
      </c>
      <c r="I119" s="43">
        <f>K119/C119</f>
        <v>33.68115272327734</v>
      </c>
      <c r="J119" s="43">
        <f>K119/F119</f>
        <v>67.7045307421722</v>
      </c>
      <c r="K119" s="41">
        <f>SUM(K107:K118)</f>
        <v>125530835.03999998</v>
      </c>
      <c r="L119" s="41">
        <f>SUM(L107:L118)</f>
        <v>132565408.09</v>
      </c>
      <c r="M119" s="44">
        <f>(+K119-L119)/L119</f>
        <v>-0.05306492207397109</v>
      </c>
      <c r="N119" s="10"/>
      <c r="R119" s="2"/>
    </row>
    <row r="120" spans="1:18" ht="15.75" customHeight="1" thickTop="1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>
      <c r="A121" s="19" t="s">
        <v>18</v>
      </c>
      <c r="B121" s="20">
        <f>DATE(2014,7,1)</f>
        <v>41821</v>
      </c>
      <c r="C121" s="21">
        <v>513388</v>
      </c>
      <c r="D121" s="21">
        <v>502822</v>
      </c>
      <c r="E121" s="23">
        <f aca="true" t="shared" si="40" ref="E121:E131">(+C121-D121)/D121</f>
        <v>0.021013400368321195</v>
      </c>
      <c r="F121" s="21">
        <f>+C121-254695</f>
        <v>258693</v>
      </c>
      <c r="G121" s="21">
        <f>+D121-253388</f>
        <v>249434</v>
      </c>
      <c r="H121" s="23">
        <f aca="true" t="shared" si="41" ref="H121:H131">(+F121-G121)/G121</f>
        <v>0.037120039770039366</v>
      </c>
      <c r="I121" s="24">
        <f aca="true" t="shared" si="42" ref="I121:I131">K121/C121</f>
        <v>33.67282865980506</v>
      </c>
      <c r="J121" s="24">
        <f aca="true" t="shared" si="43" ref="J121:J131">K121/F121</f>
        <v>66.82525681019587</v>
      </c>
      <c r="K121" s="21">
        <v>17287226.16</v>
      </c>
      <c r="L121" s="21">
        <v>17263520.77</v>
      </c>
      <c r="M121" s="25">
        <f aca="true" t="shared" si="44" ref="M121:M131">(+K121-L121)/L121</f>
        <v>0.0013731492153787699</v>
      </c>
      <c r="N121" s="10"/>
      <c r="R121" s="2"/>
    </row>
    <row r="122" spans="1:18" ht="15.75" customHeight="1">
      <c r="A122" s="19"/>
      <c r="B122" s="20">
        <f>DATE(2014,8,1)</f>
        <v>41852</v>
      </c>
      <c r="C122" s="21">
        <v>503846</v>
      </c>
      <c r="D122" s="21">
        <v>566727</v>
      </c>
      <c r="E122" s="23">
        <f t="shared" si="40"/>
        <v>-0.11095465718061782</v>
      </c>
      <c r="F122" s="21">
        <f>+C122-249972</f>
        <v>253874</v>
      </c>
      <c r="G122" s="21">
        <f>+D122-280832</f>
        <v>285895</v>
      </c>
      <c r="H122" s="23">
        <f t="shared" si="41"/>
        <v>-0.11200265831861347</v>
      </c>
      <c r="I122" s="24">
        <f t="shared" si="42"/>
        <v>34.77901624702786</v>
      </c>
      <c r="J122" s="24">
        <f t="shared" si="43"/>
        <v>69.0234849571047</v>
      </c>
      <c r="K122" s="21">
        <v>17523268.22</v>
      </c>
      <c r="L122" s="21">
        <v>18011496.3</v>
      </c>
      <c r="M122" s="25">
        <f t="shared" si="44"/>
        <v>-0.027106469771753607</v>
      </c>
      <c r="N122" s="10"/>
      <c r="R122" s="2"/>
    </row>
    <row r="123" spans="1:18" ht="15.75" customHeight="1">
      <c r="A123" s="19"/>
      <c r="B123" s="20">
        <f>DATE(2014,9,1)</f>
        <v>41883</v>
      </c>
      <c r="C123" s="21">
        <v>423883</v>
      </c>
      <c r="D123" s="21">
        <v>471960</v>
      </c>
      <c r="E123" s="23">
        <f t="shared" si="40"/>
        <v>-0.1018666836172557</v>
      </c>
      <c r="F123" s="21">
        <f>+C123-210874</f>
        <v>213009</v>
      </c>
      <c r="G123" s="21">
        <f>+D123-238969</f>
        <v>232991</v>
      </c>
      <c r="H123" s="23">
        <f t="shared" si="41"/>
        <v>-0.08576296938508354</v>
      </c>
      <c r="I123" s="24">
        <f t="shared" si="42"/>
        <v>34.68308328005605</v>
      </c>
      <c r="J123" s="24">
        <f t="shared" si="43"/>
        <v>69.01853625903131</v>
      </c>
      <c r="K123" s="21">
        <v>14701569.39</v>
      </c>
      <c r="L123" s="21">
        <v>15867099.53</v>
      </c>
      <c r="M123" s="25">
        <f t="shared" si="44"/>
        <v>-0.0734557779634725</v>
      </c>
      <c r="N123" s="10"/>
      <c r="R123" s="2"/>
    </row>
    <row r="124" spans="1:18" ht="15.75" customHeight="1">
      <c r="A124" s="19"/>
      <c r="B124" s="20">
        <f>DATE(2014,10,1)</f>
        <v>41913</v>
      </c>
      <c r="C124" s="21">
        <v>423551</v>
      </c>
      <c r="D124" s="21">
        <v>458275</v>
      </c>
      <c r="E124" s="23">
        <f t="shared" si="40"/>
        <v>-0.07577109813976324</v>
      </c>
      <c r="F124" s="21">
        <f>C124-214777</f>
        <v>208774</v>
      </c>
      <c r="G124" s="21">
        <f>D124-236826</f>
        <v>221449</v>
      </c>
      <c r="H124" s="23">
        <f t="shared" si="41"/>
        <v>-0.057236654940866744</v>
      </c>
      <c r="I124" s="24">
        <f t="shared" si="42"/>
        <v>37.36324867607443</v>
      </c>
      <c r="J124" s="24">
        <f t="shared" si="43"/>
        <v>75.80082452795847</v>
      </c>
      <c r="K124" s="21">
        <v>15825241.34</v>
      </c>
      <c r="L124" s="21">
        <v>16174223.64</v>
      </c>
      <c r="M124" s="25">
        <f t="shared" si="44"/>
        <v>-0.02157644829003989</v>
      </c>
      <c r="N124" s="10"/>
      <c r="R124" s="2"/>
    </row>
    <row r="125" spans="1:18" ht="15.75" customHeight="1">
      <c r="A125" s="19"/>
      <c r="B125" s="20">
        <f>DATE(2014,11,1)</f>
        <v>41944</v>
      </c>
      <c r="C125" s="21">
        <v>431949</v>
      </c>
      <c r="D125" s="22">
        <v>484130</v>
      </c>
      <c r="E125" s="23">
        <f t="shared" si="40"/>
        <v>-0.10778303348274224</v>
      </c>
      <c r="F125" s="21">
        <f>C125-216466</f>
        <v>215483</v>
      </c>
      <c r="G125" s="21">
        <f>D125-250719</f>
        <v>233411</v>
      </c>
      <c r="H125" s="23">
        <f t="shared" si="41"/>
        <v>-0.07680871938340524</v>
      </c>
      <c r="I125" s="24">
        <f t="shared" si="42"/>
        <v>33.962604844553404</v>
      </c>
      <c r="J125" s="24">
        <f t="shared" si="43"/>
        <v>68.08014182093251</v>
      </c>
      <c r="K125" s="21">
        <v>14670113.2</v>
      </c>
      <c r="L125" s="21">
        <v>16428973.72</v>
      </c>
      <c r="M125" s="25">
        <f t="shared" si="44"/>
        <v>-0.1070584535574996</v>
      </c>
      <c r="N125" s="10"/>
      <c r="R125" s="2"/>
    </row>
    <row r="126" spans="1:18" ht="15.75" customHeight="1">
      <c r="A126" s="19"/>
      <c r="B126" s="20">
        <f>DATE(2014,12,1)</f>
        <v>41974</v>
      </c>
      <c r="C126" s="21">
        <v>445795</v>
      </c>
      <c r="D126" s="22">
        <v>463390</v>
      </c>
      <c r="E126" s="23">
        <f t="shared" si="40"/>
        <v>-0.03797017630937224</v>
      </c>
      <c r="F126" s="21">
        <f>+C126-226584</f>
        <v>219211</v>
      </c>
      <c r="G126" s="21">
        <f>+D126-242237</f>
        <v>221153</v>
      </c>
      <c r="H126" s="23">
        <f t="shared" si="41"/>
        <v>-0.00878125098913422</v>
      </c>
      <c r="I126" s="24">
        <f t="shared" si="42"/>
        <v>35.053300395921895</v>
      </c>
      <c r="J126" s="24">
        <f t="shared" si="43"/>
        <v>71.28559264817916</v>
      </c>
      <c r="K126" s="21">
        <v>15626586.05</v>
      </c>
      <c r="L126" s="21">
        <v>15720482.82</v>
      </c>
      <c r="M126" s="25">
        <f t="shared" si="44"/>
        <v>-0.005972893522108728</v>
      </c>
      <c r="N126" s="10"/>
      <c r="R126" s="2"/>
    </row>
    <row r="127" spans="1:18" ht="15.75" customHeight="1">
      <c r="A127" s="19"/>
      <c r="B127" s="20">
        <f>DATE(2015,1,1)</f>
        <v>42005</v>
      </c>
      <c r="C127" s="21">
        <v>462891</v>
      </c>
      <c r="D127" s="22">
        <v>451857</v>
      </c>
      <c r="E127" s="23">
        <f t="shared" si="40"/>
        <v>0.024419229977625665</v>
      </c>
      <c r="F127" s="21">
        <f>+C127-240966</f>
        <v>221925</v>
      </c>
      <c r="G127" s="21">
        <f>+D127-236713</f>
        <v>215144</v>
      </c>
      <c r="H127" s="23">
        <f t="shared" si="41"/>
        <v>0.031518424868925</v>
      </c>
      <c r="I127" s="24">
        <f t="shared" si="42"/>
        <v>35.367727413149105</v>
      </c>
      <c r="J127" s="24">
        <f t="shared" si="43"/>
        <v>73.76997954263828</v>
      </c>
      <c r="K127" s="21">
        <v>16371402.71</v>
      </c>
      <c r="L127" s="21">
        <v>15217702.11</v>
      </c>
      <c r="M127" s="25">
        <f t="shared" si="44"/>
        <v>0.07581306242299689</v>
      </c>
      <c r="N127" s="10"/>
      <c r="R127" s="2"/>
    </row>
    <row r="128" spans="1:18" ht="15.75" customHeight="1">
      <c r="A128" s="19"/>
      <c r="B128" s="20">
        <f>DATE(2015,2,1)</f>
        <v>42036</v>
      </c>
      <c r="C128" s="21">
        <v>454077</v>
      </c>
      <c r="D128" s="22">
        <v>479368</v>
      </c>
      <c r="E128" s="23">
        <f t="shared" si="40"/>
        <v>-0.05275904941506317</v>
      </c>
      <c r="F128" s="21">
        <f>+C128-235409</f>
        <v>218668</v>
      </c>
      <c r="G128" s="21">
        <f>+D128-254287</f>
        <v>225081</v>
      </c>
      <c r="H128" s="23">
        <f t="shared" si="41"/>
        <v>-0.0284919651147809</v>
      </c>
      <c r="I128" s="24">
        <f t="shared" si="42"/>
        <v>34.97491066493128</v>
      </c>
      <c r="J128" s="24">
        <f t="shared" si="43"/>
        <v>72.62746496972579</v>
      </c>
      <c r="K128" s="21">
        <v>15881302.51</v>
      </c>
      <c r="L128" s="21">
        <v>15946592.05</v>
      </c>
      <c r="M128" s="25">
        <f t="shared" si="44"/>
        <v>-0.004094262886721365</v>
      </c>
      <c r="N128" s="10"/>
      <c r="R128" s="2"/>
    </row>
    <row r="129" spans="1:18" ht="15.75" customHeight="1">
      <c r="A129" s="19"/>
      <c r="B129" s="20">
        <f>DATE(2015,3,1)</f>
        <v>42064</v>
      </c>
      <c r="C129" s="21">
        <v>492615</v>
      </c>
      <c r="D129" s="22">
        <v>503197</v>
      </c>
      <c r="E129" s="23">
        <f t="shared" si="40"/>
        <v>-0.021029537139529847</v>
      </c>
      <c r="F129" s="21">
        <f>+C129-252742</f>
        <v>239873</v>
      </c>
      <c r="G129" s="21">
        <f>+D129-260557</f>
        <v>242640</v>
      </c>
      <c r="H129" s="23">
        <f t="shared" si="41"/>
        <v>-0.011403725684141115</v>
      </c>
      <c r="I129" s="24">
        <f t="shared" si="42"/>
        <v>36.484055804228454</v>
      </c>
      <c r="J129" s="24">
        <f t="shared" si="43"/>
        <v>74.9254528437965</v>
      </c>
      <c r="K129" s="21">
        <v>17972593.15</v>
      </c>
      <c r="L129" s="21">
        <v>17594079.85</v>
      </c>
      <c r="M129" s="25">
        <f t="shared" si="44"/>
        <v>0.021513674101007164</v>
      </c>
      <c r="N129" s="10"/>
      <c r="R129" s="2"/>
    </row>
    <row r="130" spans="1:18" ht="15.75" customHeight="1">
      <c r="A130" s="19"/>
      <c r="B130" s="20">
        <f>DATE(2015,4,1)</f>
        <v>42095</v>
      </c>
      <c r="C130" s="21">
        <v>434073</v>
      </c>
      <c r="D130" s="22">
        <v>454504</v>
      </c>
      <c r="E130" s="23">
        <f t="shared" si="40"/>
        <v>-0.04495229964972806</v>
      </c>
      <c r="F130" s="21">
        <f>+C130-218285</f>
        <v>215788</v>
      </c>
      <c r="G130" s="21">
        <f>+D130-237181</f>
        <v>217323</v>
      </c>
      <c r="H130" s="23">
        <f t="shared" si="41"/>
        <v>-0.00706321926349259</v>
      </c>
      <c r="I130" s="24">
        <f t="shared" si="42"/>
        <v>38.902974799169726</v>
      </c>
      <c r="J130" s="24">
        <f t="shared" si="43"/>
        <v>78.25611702226259</v>
      </c>
      <c r="K130" s="21">
        <v>16886730.98</v>
      </c>
      <c r="L130" s="21">
        <v>16050519.26</v>
      </c>
      <c r="M130" s="25">
        <f t="shared" si="44"/>
        <v>0.05209873315961497</v>
      </c>
      <c r="N130" s="10"/>
      <c r="R130" s="2"/>
    </row>
    <row r="131" spans="1:18" ht="15.75" customHeight="1">
      <c r="A131" s="19"/>
      <c r="B131" s="20">
        <f>DATE(2015,5,1)</f>
        <v>42125</v>
      </c>
      <c r="C131" s="21">
        <v>481391</v>
      </c>
      <c r="D131" s="22">
        <v>480000</v>
      </c>
      <c r="E131" s="23">
        <f t="shared" si="40"/>
        <v>0.0028979166666666667</v>
      </c>
      <c r="F131" s="21">
        <f>+C131-243019</f>
        <v>238372</v>
      </c>
      <c r="G131" s="21">
        <f>+D131-246974</f>
        <v>233026</v>
      </c>
      <c r="H131" s="23">
        <f t="shared" si="41"/>
        <v>0.022941645996584072</v>
      </c>
      <c r="I131" s="24">
        <f t="shared" si="42"/>
        <v>37.712647224397635</v>
      </c>
      <c r="J131" s="24">
        <f t="shared" si="43"/>
        <v>76.16049267531422</v>
      </c>
      <c r="K131" s="21">
        <v>18154528.96</v>
      </c>
      <c r="L131" s="21">
        <v>17412797.82</v>
      </c>
      <c r="M131" s="25">
        <f t="shared" si="44"/>
        <v>0.04259689612590934</v>
      </c>
      <c r="N131" s="10"/>
      <c r="R131" s="2"/>
    </row>
    <row r="132" spans="1:18" ht="15.75" customHeight="1" thickBot="1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7.25" thickBot="1" thickTop="1">
      <c r="A133" s="39" t="s">
        <v>14</v>
      </c>
      <c r="B133" s="40"/>
      <c r="C133" s="41">
        <f>SUM(C121:C132)</f>
        <v>5067459</v>
      </c>
      <c r="D133" s="41">
        <f>SUM(D121:D132)</f>
        <v>5316230</v>
      </c>
      <c r="E133" s="283">
        <f>(+C133-D133)/D133</f>
        <v>-0.046794627019523236</v>
      </c>
      <c r="F133" s="41">
        <f>SUM(F121:F132)</f>
        <v>2503670</v>
      </c>
      <c r="G133" s="41">
        <f>SUM(G121:G132)</f>
        <v>2577547</v>
      </c>
      <c r="H133" s="42">
        <f>(+F133-G133)/G133</f>
        <v>-0.028661747002091523</v>
      </c>
      <c r="I133" s="43">
        <f>K133/C133</f>
        <v>35.69847583769301</v>
      </c>
      <c r="J133" s="43">
        <f>K133/F133</f>
        <v>72.25415596704038</v>
      </c>
      <c r="K133" s="41">
        <f>SUM(K121:K132)</f>
        <v>180900562.67</v>
      </c>
      <c r="L133" s="41">
        <f>SUM(L121:L132)</f>
        <v>181687487.86999997</v>
      </c>
      <c r="M133" s="44">
        <f>(+K133-L133)/L133</f>
        <v>-0.0043312019403507</v>
      </c>
      <c r="N133" s="10"/>
      <c r="R133" s="2"/>
    </row>
    <row r="134" spans="1:18" ht="15.75" customHeight="1" thickTop="1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>
      <c r="A135" s="19" t="s">
        <v>58</v>
      </c>
      <c r="B135" s="20">
        <f>DATE(2014,7,1)</f>
        <v>41821</v>
      </c>
      <c r="C135" s="21">
        <v>498239</v>
      </c>
      <c r="D135" s="21">
        <v>478335</v>
      </c>
      <c r="E135" s="23">
        <f aca="true" t="shared" si="45" ref="E135:E145">(+C135-D135)/D135</f>
        <v>0.04161100483970439</v>
      </c>
      <c r="F135" s="21">
        <f>+C135-242414</f>
        <v>255825</v>
      </c>
      <c r="G135" s="21">
        <f>+D135-233675</f>
        <v>244660</v>
      </c>
      <c r="H135" s="23">
        <f aca="true" t="shared" si="46" ref="H135:H145">(+F135-G135)/G135</f>
        <v>0.04563475844028447</v>
      </c>
      <c r="I135" s="24">
        <f aca="true" t="shared" si="47" ref="I135:I145">K135/C135</f>
        <v>35.603950212648954</v>
      </c>
      <c r="J135" s="24">
        <f aca="true" t="shared" si="48" ref="J135:J145">K135/F135</f>
        <v>69.34145040555067</v>
      </c>
      <c r="K135" s="21">
        <v>17739276.55</v>
      </c>
      <c r="L135" s="21">
        <v>16395076.56</v>
      </c>
      <c r="M135" s="25">
        <f aca="true" t="shared" si="49" ref="M135:M145">(+K135-L135)/L135</f>
        <v>0.08198802763016803</v>
      </c>
      <c r="N135" s="10"/>
      <c r="R135" s="2"/>
    </row>
    <row r="136" spans="1:18" ht="15.75" customHeight="1">
      <c r="A136" s="19"/>
      <c r="B136" s="20">
        <f>DATE(2014,8,1)</f>
        <v>41852</v>
      </c>
      <c r="C136" s="21">
        <v>548272</v>
      </c>
      <c r="D136" s="21">
        <v>529390</v>
      </c>
      <c r="E136" s="23">
        <f t="shared" si="45"/>
        <v>0.03566746632917131</v>
      </c>
      <c r="F136" s="21">
        <f>+C136-270985</f>
        <v>277287</v>
      </c>
      <c r="G136" s="21">
        <f>+D136-256440</f>
        <v>272950</v>
      </c>
      <c r="H136" s="23">
        <f t="shared" si="46"/>
        <v>0.01588935702509617</v>
      </c>
      <c r="I136" s="24">
        <f t="shared" si="47"/>
        <v>34.53328689044854</v>
      </c>
      <c r="J136" s="24">
        <f t="shared" si="48"/>
        <v>68.28172352111712</v>
      </c>
      <c r="K136" s="21">
        <v>18933634.27</v>
      </c>
      <c r="L136" s="21">
        <v>18161372.56</v>
      </c>
      <c r="M136" s="25">
        <f t="shared" si="49"/>
        <v>0.04252221066709955</v>
      </c>
      <c r="N136" s="10"/>
      <c r="R136" s="2"/>
    </row>
    <row r="137" spans="1:18" ht="15.75" customHeight="1">
      <c r="A137" s="19"/>
      <c r="B137" s="20">
        <f>DATE(2014,9,1)</f>
        <v>41883</v>
      </c>
      <c r="C137" s="21">
        <v>462127</v>
      </c>
      <c r="D137" s="21">
        <v>505814</v>
      </c>
      <c r="E137" s="23">
        <f t="shared" si="45"/>
        <v>-0.08636969320738454</v>
      </c>
      <c r="F137" s="21">
        <f>+C137-224687</f>
        <v>237440</v>
      </c>
      <c r="G137" s="21">
        <f>+D137-247916</f>
        <v>257898</v>
      </c>
      <c r="H137" s="23">
        <f t="shared" si="46"/>
        <v>-0.0793259350595972</v>
      </c>
      <c r="I137" s="24">
        <f t="shared" si="47"/>
        <v>36.104868055750906</v>
      </c>
      <c r="J137" s="24">
        <f t="shared" si="48"/>
        <v>70.27052880727763</v>
      </c>
      <c r="K137" s="21">
        <v>16685034.36</v>
      </c>
      <c r="L137" s="21">
        <v>17139972.22</v>
      </c>
      <c r="M137" s="25">
        <f t="shared" si="49"/>
        <v>-0.0265425085969013</v>
      </c>
      <c r="N137" s="10"/>
      <c r="R137" s="2"/>
    </row>
    <row r="138" spans="1:18" ht="15.75" customHeight="1">
      <c r="A138" s="19"/>
      <c r="B138" s="20">
        <f>DATE(2014,10,1)</f>
        <v>41913</v>
      </c>
      <c r="C138" s="21">
        <v>489378</v>
      </c>
      <c r="D138" s="21">
        <v>489334</v>
      </c>
      <c r="E138" s="23">
        <f t="shared" si="45"/>
        <v>8.991813362652094E-05</v>
      </c>
      <c r="F138" s="21">
        <f>C138-239568</f>
        <v>249810</v>
      </c>
      <c r="G138" s="21">
        <f>D138-235323</f>
        <v>254011</v>
      </c>
      <c r="H138" s="23">
        <f t="shared" si="46"/>
        <v>-0.01653865383782592</v>
      </c>
      <c r="I138" s="24">
        <f t="shared" si="47"/>
        <v>34.92766393258381</v>
      </c>
      <c r="J138" s="24">
        <f t="shared" si="48"/>
        <v>68.42332300548416</v>
      </c>
      <c r="K138" s="21">
        <v>17092830.32</v>
      </c>
      <c r="L138" s="21">
        <v>16816245.17</v>
      </c>
      <c r="M138" s="25">
        <f t="shared" si="49"/>
        <v>0.016447497476631906</v>
      </c>
      <c r="N138" s="10"/>
      <c r="R138" s="2"/>
    </row>
    <row r="139" spans="1:18" ht="15.75" customHeight="1">
      <c r="A139" s="19"/>
      <c r="B139" s="20">
        <f>DATE(2014,11,1)</f>
        <v>41944</v>
      </c>
      <c r="C139" s="21">
        <v>484208</v>
      </c>
      <c r="D139" s="22">
        <v>523143</v>
      </c>
      <c r="E139" s="23">
        <f t="shared" si="45"/>
        <v>-0.07442515717499804</v>
      </c>
      <c r="F139" s="21">
        <f>+C139-233243</f>
        <v>250965</v>
      </c>
      <c r="G139" s="21">
        <f>D139-256054</f>
        <v>267089</v>
      </c>
      <c r="H139" s="23">
        <f t="shared" si="46"/>
        <v>-0.06036938997862136</v>
      </c>
      <c r="I139" s="24">
        <f t="shared" si="47"/>
        <v>35.77599294105013</v>
      </c>
      <c r="J139" s="24">
        <f t="shared" si="48"/>
        <v>69.02564895503356</v>
      </c>
      <c r="K139" s="21">
        <v>17323021.99</v>
      </c>
      <c r="L139" s="21">
        <v>18598301.39</v>
      </c>
      <c r="M139" s="25">
        <f t="shared" si="49"/>
        <v>-0.0685696705982891</v>
      </c>
      <c r="N139" s="10"/>
      <c r="R139" s="2"/>
    </row>
    <row r="140" spans="1:18" ht="15.75" customHeight="1">
      <c r="A140" s="19"/>
      <c r="B140" s="20">
        <f>DATE(2014,12,1)</f>
        <v>41974</v>
      </c>
      <c r="C140" s="21">
        <v>492618</v>
      </c>
      <c r="D140" s="22">
        <v>477216</v>
      </c>
      <c r="E140" s="23">
        <f t="shared" si="45"/>
        <v>0.03227469322067995</v>
      </c>
      <c r="F140" s="21">
        <f>+C140-245125</f>
        <v>247493</v>
      </c>
      <c r="G140" s="21">
        <f>+D140-237172</f>
        <v>240044</v>
      </c>
      <c r="H140" s="23">
        <f t="shared" si="46"/>
        <v>0.031031810834680307</v>
      </c>
      <c r="I140" s="24">
        <f t="shared" si="47"/>
        <v>36.04512486348449</v>
      </c>
      <c r="J140" s="24">
        <f t="shared" si="48"/>
        <v>71.74537186910337</v>
      </c>
      <c r="K140" s="21">
        <v>17756477.32</v>
      </c>
      <c r="L140" s="21">
        <v>16926558.37</v>
      </c>
      <c r="M140" s="25">
        <f t="shared" si="49"/>
        <v>0.04903057856527506</v>
      </c>
      <c r="N140" s="10"/>
      <c r="R140" s="2"/>
    </row>
    <row r="141" spans="1:18" ht="15.75" customHeight="1">
      <c r="A141" s="19"/>
      <c r="B141" s="20">
        <f>DATE(2015,1,1)</f>
        <v>42005</v>
      </c>
      <c r="C141" s="21">
        <v>498176</v>
      </c>
      <c r="D141" s="22">
        <v>461091</v>
      </c>
      <c r="E141" s="23">
        <f t="shared" si="45"/>
        <v>0.08042880906372062</v>
      </c>
      <c r="F141" s="21">
        <f>+C141-252306</f>
        <v>245870</v>
      </c>
      <c r="G141" s="21">
        <f>+D141-227662</f>
        <v>233429</v>
      </c>
      <c r="H141" s="23">
        <f t="shared" si="46"/>
        <v>0.053296719773464306</v>
      </c>
      <c r="I141" s="24">
        <f t="shared" si="47"/>
        <v>35.70561524441161</v>
      </c>
      <c r="J141" s="24">
        <f t="shared" si="48"/>
        <v>72.34587619473704</v>
      </c>
      <c r="K141" s="21">
        <v>17787680.58</v>
      </c>
      <c r="L141" s="21">
        <v>15643516.51</v>
      </c>
      <c r="M141" s="25">
        <f t="shared" si="49"/>
        <v>0.1370640717916178</v>
      </c>
      <c r="N141" s="10"/>
      <c r="R141" s="2"/>
    </row>
    <row r="142" spans="1:18" ht="15.75" customHeight="1">
      <c r="A142" s="19"/>
      <c r="B142" s="20">
        <f>DATE(2015,2,1)</f>
        <v>42036</v>
      </c>
      <c r="C142" s="21">
        <v>481688</v>
      </c>
      <c r="D142" s="22">
        <v>498664</v>
      </c>
      <c r="E142" s="23">
        <f t="shared" si="45"/>
        <v>-0.034042962796592496</v>
      </c>
      <c r="F142" s="21">
        <f>+C142-239002</f>
        <v>242686</v>
      </c>
      <c r="G142" s="21">
        <f>+D142-250684</f>
        <v>247980</v>
      </c>
      <c r="H142" s="23">
        <f t="shared" si="46"/>
        <v>-0.02134849584643923</v>
      </c>
      <c r="I142" s="24">
        <f t="shared" si="47"/>
        <v>35.45469629718822</v>
      </c>
      <c r="J142" s="24">
        <f t="shared" si="48"/>
        <v>70.37118643020199</v>
      </c>
      <c r="K142" s="21">
        <v>17078101.75</v>
      </c>
      <c r="L142" s="21">
        <v>16569386.92</v>
      </c>
      <c r="M142" s="25">
        <f t="shared" si="49"/>
        <v>0.030702091299827046</v>
      </c>
      <c r="N142" s="10"/>
      <c r="R142" s="2"/>
    </row>
    <row r="143" spans="1:18" ht="15.75" customHeight="1">
      <c r="A143" s="19"/>
      <c r="B143" s="20">
        <f>DATE(2015,3,1)</f>
        <v>42064</v>
      </c>
      <c r="C143" s="21">
        <v>540656</v>
      </c>
      <c r="D143" s="22">
        <v>552194</v>
      </c>
      <c r="E143" s="23">
        <f t="shared" si="45"/>
        <v>-0.02089483044002651</v>
      </c>
      <c r="F143" s="21">
        <f>+C143-265478</f>
        <v>275178</v>
      </c>
      <c r="G143" s="21">
        <f>+D143-270982</f>
        <v>281212</v>
      </c>
      <c r="H143" s="23">
        <f t="shared" si="46"/>
        <v>-0.021457121317724707</v>
      </c>
      <c r="I143" s="24">
        <f t="shared" si="47"/>
        <v>36.02832773519576</v>
      </c>
      <c r="J143" s="24">
        <f t="shared" si="48"/>
        <v>70.78666012544608</v>
      </c>
      <c r="K143" s="21">
        <v>19478931.56</v>
      </c>
      <c r="L143" s="21">
        <v>19445490</v>
      </c>
      <c r="M143" s="25">
        <f t="shared" si="49"/>
        <v>0.0017197591832347069</v>
      </c>
      <c r="N143" s="10"/>
      <c r="R143" s="2"/>
    </row>
    <row r="144" spans="1:18" ht="15.75" customHeight="1">
      <c r="A144" s="19"/>
      <c r="B144" s="20">
        <f>DATE(2015,4,1)</f>
        <v>42095</v>
      </c>
      <c r="C144" s="21">
        <v>485604</v>
      </c>
      <c r="D144" s="22">
        <v>477885</v>
      </c>
      <c r="E144" s="23">
        <f t="shared" si="45"/>
        <v>0.016152421607708967</v>
      </c>
      <c r="F144" s="21">
        <f>+C144-242511</f>
        <v>243093</v>
      </c>
      <c r="G144" s="21">
        <f>+D144-228578</f>
        <v>249307</v>
      </c>
      <c r="H144" s="23">
        <f t="shared" si="46"/>
        <v>-0.024925092356010863</v>
      </c>
      <c r="I144" s="24">
        <f t="shared" si="47"/>
        <v>39.40147393761172</v>
      </c>
      <c r="J144" s="24">
        <f t="shared" si="48"/>
        <v>78.70861501565246</v>
      </c>
      <c r="K144" s="21">
        <v>19133513.35</v>
      </c>
      <c r="L144" s="21">
        <v>17568446.29</v>
      </c>
      <c r="M144" s="25">
        <f t="shared" si="49"/>
        <v>0.08908397670264344</v>
      </c>
      <c r="N144" s="10"/>
      <c r="R144" s="2"/>
    </row>
    <row r="145" spans="1:18" ht="15.75" customHeight="1">
      <c r="A145" s="19"/>
      <c r="B145" s="20">
        <f>DATE(2015,5,1)</f>
        <v>42125</v>
      </c>
      <c r="C145" s="21">
        <v>524479</v>
      </c>
      <c r="D145" s="22">
        <v>497569</v>
      </c>
      <c r="E145" s="23">
        <f t="shared" si="45"/>
        <v>0.05408295130926565</v>
      </c>
      <c r="F145" s="21">
        <f>+C145-260807</f>
        <v>263672</v>
      </c>
      <c r="G145" s="21">
        <f>+D145-239305</f>
        <v>258264</v>
      </c>
      <c r="H145" s="23">
        <f t="shared" si="46"/>
        <v>0.020939813524145836</v>
      </c>
      <c r="I145" s="24">
        <f t="shared" si="47"/>
        <v>37.61014828048406</v>
      </c>
      <c r="J145" s="24">
        <f t="shared" si="48"/>
        <v>74.8116332412998</v>
      </c>
      <c r="K145" s="21">
        <v>19725732.96</v>
      </c>
      <c r="L145" s="21">
        <v>18342721.62</v>
      </c>
      <c r="M145" s="25">
        <f t="shared" si="49"/>
        <v>0.07539837155310869</v>
      </c>
      <c r="N145" s="10"/>
      <c r="R145" s="2"/>
    </row>
    <row r="146" spans="1:18" ht="15.75" customHeight="1" thickBot="1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Bot="1" thickTop="1">
      <c r="A147" s="39" t="s">
        <v>14</v>
      </c>
      <c r="B147" s="40"/>
      <c r="C147" s="41">
        <f>SUM(C135:C146)</f>
        <v>5505445</v>
      </c>
      <c r="D147" s="41">
        <f>SUM(D135:D146)</f>
        <v>5490635</v>
      </c>
      <c r="E147" s="283">
        <f>(+C147-D147)/D147</f>
        <v>0.0026973200731791494</v>
      </c>
      <c r="F147" s="41">
        <f>SUM(F135:F146)</f>
        <v>2789319</v>
      </c>
      <c r="G147" s="41">
        <f>SUM(G135:G146)</f>
        <v>2806844</v>
      </c>
      <c r="H147" s="42">
        <f>(+F147-G147)/G147</f>
        <v>-0.006243667264728642</v>
      </c>
      <c r="I147" s="43">
        <f>K147/C147</f>
        <v>36.09776049165871</v>
      </c>
      <c r="J147" s="43">
        <f>K147/F147</f>
        <v>71.24829931965472</v>
      </c>
      <c r="K147" s="41">
        <f>SUM(K135:K146)</f>
        <v>198734235.01</v>
      </c>
      <c r="L147" s="41">
        <f>SUM(L135:L146)</f>
        <v>191607087.60999998</v>
      </c>
      <c r="M147" s="44">
        <f>(+K147-L147)/L147</f>
        <v>0.03719667935513279</v>
      </c>
      <c r="N147" s="10"/>
      <c r="R147" s="2"/>
    </row>
    <row r="148" spans="1:18" ht="15.75" customHeight="1" thickTop="1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>
      <c r="A149" s="19" t="s">
        <v>59</v>
      </c>
      <c r="B149" s="20">
        <f>DATE(2014,7,1)</f>
        <v>41821</v>
      </c>
      <c r="C149" s="21">
        <v>84999</v>
      </c>
      <c r="D149" s="21">
        <v>86946</v>
      </c>
      <c r="E149" s="23">
        <f aca="true" t="shared" si="50" ref="E149:E159">(+C149-D149)/D149</f>
        <v>-0.022393209578358983</v>
      </c>
      <c r="F149" s="21">
        <f>+C149-43157</f>
        <v>41842</v>
      </c>
      <c r="G149" s="21">
        <f>+D149-43787</f>
        <v>43159</v>
      </c>
      <c r="H149" s="23">
        <f aca="true" t="shared" si="51" ref="H149:H159">(+F149-G149)/G149</f>
        <v>-0.030515072174980885</v>
      </c>
      <c r="I149" s="24">
        <f aca="true" t="shared" si="52" ref="I149:I159">K149/C149</f>
        <v>35.69264038400452</v>
      </c>
      <c r="J149" s="24">
        <f aca="true" t="shared" si="53" ref="J149:J159">K149/F149</f>
        <v>72.5070202189188</v>
      </c>
      <c r="K149" s="21">
        <v>3033838.74</v>
      </c>
      <c r="L149" s="21">
        <v>2974457.52</v>
      </c>
      <c r="M149" s="25">
        <f aca="true" t="shared" si="54" ref="M149:M159">(+K149-L149)/L149</f>
        <v>0.019963714257381696</v>
      </c>
      <c r="N149" s="10"/>
      <c r="R149" s="2"/>
    </row>
    <row r="150" spans="1:18" ht="15" customHeight="1">
      <c r="A150" s="19"/>
      <c r="B150" s="20">
        <f>DATE(2014,8,1)</f>
        <v>41852</v>
      </c>
      <c r="C150" s="21">
        <v>89307</v>
      </c>
      <c r="D150" s="21">
        <v>89883</v>
      </c>
      <c r="E150" s="23">
        <f t="shared" si="50"/>
        <v>-0.006408330830079103</v>
      </c>
      <c r="F150" s="21">
        <f>+C150-44522</f>
        <v>44785</v>
      </c>
      <c r="G150" s="21">
        <f>+D150-45553</f>
        <v>44330</v>
      </c>
      <c r="H150" s="23">
        <f t="shared" si="51"/>
        <v>0.010263929618768328</v>
      </c>
      <c r="I150" s="24">
        <f t="shared" si="52"/>
        <v>36.395771104168766</v>
      </c>
      <c r="J150" s="24">
        <f t="shared" si="53"/>
        <v>72.577807971419</v>
      </c>
      <c r="K150" s="21">
        <v>3250397.13</v>
      </c>
      <c r="L150" s="21">
        <v>3038452.81</v>
      </c>
      <c r="M150" s="25">
        <f t="shared" si="54"/>
        <v>0.06975402721492319</v>
      </c>
      <c r="N150" s="10"/>
      <c r="R150" s="2"/>
    </row>
    <row r="151" spans="1:18" ht="15" customHeight="1">
      <c r="A151" s="19"/>
      <c r="B151" s="20">
        <f>DATE(2014,9,1)</f>
        <v>41883</v>
      </c>
      <c r="C151" s="21">
        <v>78430</v>
      </c>
      <c r="D151" s="21">
        <v>83616</v>
      </c>
      <c r="E151" s="23">
        <f t="shared" si="50"/>
        <v>-0.062021622655951014</v>
      </c>
      <c r="F151" s="21">
        <f>+C151-39135</f>
        <v>39295</v>
      </c>
      <c r="G151" s="21">
        <f>+D151-42083</f>
        <v>41533</v>
      </c>
      <c r="H151" s="23">
        <f t="shared" si="51"/>
        <v>-0.053884862639347025</v>
      </c>
      <c r="I151" s="24">
        <f t="shared" si="52"/>
        <v>34.8197608058141</v>
      </c>
      <c r="J151" s="24">
        <f t="shared" si="53"/>
        <v>69.4977437332994</v>
      </c>
      <c r="K151" s="21">
        <v>2730913.84</v>
      </c>
      <c r="L151" s="21">
        <v>2886948.81</v>
      </c>
      <c r="M151" s="25">
        <f t="shared" si="54"/>
        <v>-0.05404840205670297</v>
      </c>
      <c r="N151" s="10"/>
      <c r="R151" s="2"/>
    </row>
    <row r="152" spans="1:18" ht="15" customHeight="1">
      <c r="A152" s="19"/>
      <c r="B152" s="20">
        <f>DATE(2014,10,1)</f>
        <v>41913</v>
      </c>
      <c r="C152" s="21">
        <v>82199</v>
      </c>
      <c r="D152" s="21">
        <v>80385</v>
      </c>
      <c r="E152" s="23">
        <f t="shared" si="50"/>
        <v>0.02256639920383156</v>
      </c>
      <c r="F152" s="21">
        <f>C152-41678</f>
        <v>40521</v>
      </c>
      <c r="G152" s="21">
        <f>D152-41448</f>
        <v>38937</v>
      </c>
      <c r="H152" s="23">
        <f t="shared" si="51"/>
        <v>0.04068110023884737</v>
      </c>
      <c r="I152" s="24">
        <f t="shared" si="52"/>
        <v>36.2879974208932</v>
      </c>
      <c r="J152" s="24">
        <f t="shared" si="53"/>
        <v>73.61212951309199</v>
      </c>
      <c r="K152" s="21">
        <v>2982837.1</v>
      </c>
      <c r="L152" s="21">
        <v>2900206.87</v>
      </c>
      <c r="M152" s="25">
        <f t="shared" si="54"/>
        <v>0.028491150357146756</v>
      </c>
      <c r="N152" s="10"/>
      <c r="R152" s="2"/>
    </row>
    <row r="153" spans="1:18" ht="15" customHeight="1">
      <c r="A153" s="19"/>
      <c r="B153" s="20">
        <f>DATE(2014,11,1)</f>
        <v>41944</v>
      </c>
      <c r="C153" s="21">
        <v>78781</v>
      </c>
      <c r="D153" s="22">
        <v>85054</v>
      </c>
      <c r="E153" s="23">
        <f t="shared" si="50"/>
        <v>-0.07375314506078491</v>
      </c>
      <c r="F153" s="21">
        <f>C153-39817</f>
        <v>38964</v>
      </c>
      <c r="G153" s="21">
        <f>D153-44715</f>
        <v>40339</v>
      </c>
      <c r="H153" s="23">
        <f t="shared" si="51"/>
        <v>-0.034086120131882294</v>
      </c>
      <c r="I153" s="24">
        <f t="shared" si="52"/>
        <v>35.60678221906297</v>
      </c>
      <c r="J153" s="24">
        <f t="shared" si="53"/>
        <v>71.99306821681553</v>
      </c>
      <c r="K153" s="21">
        <v>2805137.91</v>
      </c>
      <c r="L153" s="21">
        <v>3171879.87</v>
      </c>
      <c r="M153" s="25">
        <f t="shared" si="54"/>
        <v>-0.11562290346134703</v>
      </c>
      <c r="N153" s="10"/>
      <c r="R153" s="2"/>
    </row>
    <row r="154" spans="1:18" ht="15" customHeight="1">
      <c r="A154" s="19"/>
      <c r="B154" s="20">
        <f>DATE(2014,12,1)</f>
        <v>41974</v>
      </c>
      <c r="C154" s="21">
        <v>88756</v>
      </c>
      <c r="D154" s="22">
        <v>78281</v>
      </c>
      <c r="E154" s="23">
        <f t="shared" si="50"/>
        <v>0.13381280259577674</v>
      </c>
      <c r="F154" s="21">
        <f>+C154-44272</f>
        <v>44484</v>
      </c>
      <c r="G154" s="21">
        <f>+D154-41497</f>
        <v>36784</v>
      </c>
      <c r="H154" s="23">
        <f t="shared" si="51"/>
        <v>0.20933014354066987</v>
      </c>
      <c r="I154" s="24">
        <f t="shared" si="52"/>
        <v>33.92769547974221</v>
      </c>
      <c r="J154" s="24">
        <f t="shared" si="53"/>
        <v>67.69369975721608</v>
      </c>
      <c r="K154" s="21">
        <v>3011286.54</v>
      </c>
      <c r="L154" s="21">
        <v>3007600.52</v>
      </c>
      <c r="M154" s="25">
        <f t="shared" si="54"/>
        <v>0.0012255683477538496</v>
      </c>
      <c r="N154" s="10"/>
      <c r="R154" s="2"/>
    </row>
    <row r="155" spans="1:18" ht="15" customHeight="1">
      <c r="A155" s="19"/>
      <c r="B155" s="20">
        <f>DATE(2015,1,1)</f>
        <v>42005</v>
      </c>
      <c r="C155" s="21">
        <v>80912</v>
      </c>
      <c r="D155" s="22">
        <v>73760</v>
      </c>
      <c r="E155" s="23">
        <f t="shared" si="50"/>
        <v>0.09696312364425162</v>
      </c>
      <c r="F155" s="21">
        <f>+C155-41354</f>
        <v>39558</v>
      </c>
      <c r="G155" s="21">
        <f>+D155-38513</f>
        <v>35247</v>
      </c>
      <c r="H155" s="23">
        <f t="shared" si="51"/>
        <v>0.1223082815558771</v>
      </c>
      <c r="I155" s="24">
        <f t="shared" si="52"/>
        <v>33.98822461439589</v>
      </c>
      <c r="J155" s="24">
        <f t="shared" si="53"/>
        <v>69.51957202083017</v>
      </c>
      <c r="K155" s="21">
        <v>2750055.23</v>
      </c>
      <c r="L155" s="21">
        <v>2735542.96</v>
      </c>
      <c r="M155" s="25">
        <f t="shared" si="54"/>
        <v>0.005305078447753574</v>
      </c>
      <c r="N155" s="10"/>
      <c r="R155" s="2"/>
    </row>
    <row r="156" spans="1:18" ht="15" customHeight="1">
      <c r="A156" s="19"/>
      <c r="B156" s="20">
        <f>DATE(2015,2,1)</f>
        <v>42036</v>
      </c>
      <c r="C156" s="21">
        <v>78042</v>
      </c>
      <c r="D156" s="22">
        <v>76246</v>
      </c>
      <c r="E156" s="23">
        <f t="shared" si="50"/>
        <v>0.023555334050310836</v>
      </c>
      <c r="F156" s="21">
        <f>+C156-40657</f>
        <v>37385</v>
      </c>
      <c r="G156" s="21">
        <f>+D156-40230</f>
        <v>36016</v>
      </c>
      <c r="H156" s="23">
        <f t="shared" si="51"/>
        <v>0.038010884051532655</v>
      </c>
      <c r="I156" s="24">
        <f t="shared" si="52"/>
        <v>36.93063363317188</v>
      </c>
      <c r="J156" s="24">
        <f t="shared" si="53"/>
        <v>77.0935003343587</v>
      </c>
      <c r="K156" s="21">
        <v>2882140.51</v>
      </c>
      <c r="L156" s="21">
        <v>2844810.77</v>
      </c>
      <c r="M156" s="25">
        <f t="shared" si="54"/>
        <v>0.013122046778527824</v>
      </c>
      <c r="N156" s="10"/>
      <c r="R156" s="2"/>
    </row>
    <row r="157" spans="1:18" ht="15" customHeight="1">
      <c r="A157" s="19"/>
      <c r="B157" s="20">
        <f>DATE(2015,3,1)</f>
        <v>42064</v>
      </c>
      <c r="C157" s="21">
        <v>92487</v>
      </c>
      <c r="D157" s="22">
        <v>92304</v>
      </c>
      <c r="E157" s="23">
        <f t="shared" si="50"/>
        <v>0.001982579303172127</v>
      </c>
      <c r="F157" s="21">
        <f>+C157-47552</f>
        <v>44935</v>
      </c>
      <c r="G157" s="21">
        <f>+D157-48229</f>
        <v>44075</v>
      </c>
      <c r="H157" s="23">
        <f t="shared" si="51"/>
        <v>0.01951219512195122</v>
      </c>
      <c r="I157" s="24">
        <f t="shared" si="52"/>
        <v>36.783329765264305</v>
      </c>
      <c r="J157" s="24">
        <f t="shared" si="53"/>
        <v>75.70890886836541</v>
      </c>
      <c r="K157" s="21">
        <v>3401979.82</v>
      </c>
      <c r="L157" s="21">
        <v>3452035.94</v>
      </c>
      <c r="M157" s="25">
        <f t="shared" si="54"/>
        <v>-0.014500463167251993</v>
      </c>
      <c r="N157" s="10"/>
      <c r="R157" s="2"/>
    </row>
    <row r="158" spans="1:18" ht="15" customHeight="1">
      <c r="A158" s="19"/>
      <c r="B158" s="20">
        <f>DATE(2015,4,1)</f>
        <v>42095</v>
      </c>
      <c r="C158" s="21">
        <v>83494</v>
      </c>
      <c r="D158" s="22">
        <v>84241</v>
      </c>
      <c r="E158" s="23">
        <f t="shared" si="50"/>
        <v>-0.008867416103797439</v>
      </c>
      <c r="F158" s="21">
        <f>+C158-42162</f>
        <v>41332</v>
      </c>
      <c r="G158" s="21">
        <f>+D158-43263</f>
        <v>40978</v>
      </c>
      <c r="H158" s="23">
        <f t="shared" si="51"/>
        <v>0.008638781785348236</v>
      </c>
      <c r="I158" s="24">
        <f t="shared" si="52"/>
        <v>37.24639998083695</v>
      </c>
      <c r="J158" s="24">
        <f t="shared" si="53"/>
        <v>75.24075583083325</v>
      </c>
      <c r="K158" s="21">
        <v>3109850.92</v>
      </c>
      <c r="L158" s="21">
        <v>3084286.17</v>
      </c>
      <c r="M158" s="25">
        <f t="shared" si="54"/>
        <v>0.00828870882626303</v>
      </c>
      <c r="N158" s="10"/>
      <c r="R158" s="2"/>
    </row>
    <row r="159" spans="1:18" ht="15" customHeight="1">
      <c r="A159" s="19"/>
      <c r="B159" s="20">
        <f>DATE(2015,5,1)</f>
        <v>42125</v>
      </c>
      <c r="C159" s="21">
        <v>92622</v>
      </c>
      <c r="D159" s="22">
        <v>96221</v>
      </c>
      <c r="E159" s="23">
        <f t="shared" si="50"/>
        <v>-0.037403477411375896</v>
      </c>
      <c r="F159" s="21">
        <f>+C159-45836</f>
        <v>46786</v>
      </c>
      <c r="G159" s="21">
        <f>+D159-47567</f>
        <v>48654</v>
      </c>
      <c r="H159" s="23">
        <f t="shared" si="51"/>
        <v>-0.038393554486784234</v>
      </c>
      <c r="I159" s="24">
        <f t="shared" si="52"/>
        <v>35.771559564682256</v>
      </c>
      <c r="J159" s="24">
        <f t="shared" si="53"/>
        <v>70.81676976018467</v>
      </c>
      <c r="K159" s="21">
        <v>3313233.39</v>
      </c>
      <c r="L159" s="21">
        <v>3531333.51</v>
      </c>
      <c r="M159" s="25">
        <f t="shared" si="54"/>
        <v>-0.061761405254526544</v>
      </c>
      <c r="N159" s="10"/>
      <c r="R159" s="2"/>
    </row>
    <row r="160" spans="1:18" ht="15.75" thickBot="1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7.25" thickBot="1" thickTop="1">
      <c r="A161" s="62" t="s">
        <v>14</v>
      </c>
      <c r="B161" s="52"/>
      <c r="C161" s="48">
        <f>SUM(C149:C160)</f>
        <v>930029</v>
      </c>
      <c r="D161" s="48">
        <f>SUM(D149:D160)</f>
        <v>926937</v>
      </c>
      <c r="E161" s="283">
        <f>(+C161-D161)/D161</f>
        <v>0.0033357175298860658</v>
      </c>
      <c r="F161" s="48">
        <f>SUM(F149:F160)</f>
        <v>459887</v>
      </c>
      <c r="G161" s="48">
        <f>SUM(G149:G160)</f>
        <v>450052</v>
      </c>
      <c r="H161" s="42">
        <f>(+F161-G161)/G161</f>
        <v>0.021853030316496762</v>
      </c>
      <c r="I161" s="50">
        <f>K161/C161</f>
        <v>35.77487490175038</v>
      </c>
      <c r="J161" s="50">
        <f>K161/F161</f>
        <v>72.34749216655396</v>
      </c>
      <c r="K161" s="48">
        <f>SUM(K149:K160)</f>
        <v>33271671.130000003</v>
      </c>
      <c r="L161" s="48">
        <f>SUM(L149:L160)</f>
        <v>33627555.75</v>
      </c>
      <c r="M161" s="44">
        <f>(+K161-L161)/L161</f>
        <v>-0.010583124823159273</v>
      </c>
      <c r="N161" s="10"/>
      <c r="R161" s="2"/>
    </row>
    <row r="162" spans="1:18" ht="15.75" customHeight="1" thickTop="1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.75">
      <c r="A163" s="19" t="s">
        <v>19</v>
      </c>
      <c r="B163" s="20">
        <f>DATE(2014,7,1)</f>
        <v>41821</v>
      </c>
      <c r="C163" s="21">
        <v>567277</v>
      </c>
      <c r="D163" s="21">
        <v>557354</v>
      </c>
      <c r="E163" s="23">
        <f aca="true" t="shared" si="55" ref="E163:E173">(+C163-D163)/D163</f>
        <v>0.017803765649838342</v>
      </c>
      <c r="F163" s="21">
        <f>+C163-297396</f>
        <v>269881</v>
      </c>
      <c r="G163" s="21">
        <f>+D163-286430</f>
        <v>270924</v>
      </c>
      <c r="H163" s="23">
        <f aca="true" t="shared" si="56" ref="H163:H173">(+F163-G163)/G163</f>
        <v>-0.003849788132465193</v>
      </c>
      <c r="I163" s="24">
        <f aca="true" t="shared" si="57" ref="I163:I173">K163/C163</f>
        <v>39.86158479896065</v>
      </c>
      <c r="J163" s="24">
        <f aca="true" t="shared" si="58" ref="J163:J173">K163/F163</f>
        <v>83.78715152233762</v>
      </c>
      <c r="K163" s="21">
        <v>22612560.24</v>
      </c>
      <c r="L163" s="21">
        <v>21465065.69</v>
      </c>
      <c r="M163" s="25">
        <f aca="true" t="shared" si="59" ref="M163:M173">(+K163-L163)/L163</f>
        <v>0.053458701993844074</v>
      </c>
      <c r="N163" s="10"/>
      <c r="R163" s="2"/>
    </row>
    <row r="164" spans="1:18" ht="15.75">
      <c r="A164" s="19"/>
      <c r="B164" s="20">
        <f>DATE(2014,8,1)</f>
        <v>41852</v>
      </c>
      <c r="C164" s="21">
        <v>609221</v>
      </c>
      <c r="D164" s="21">
        <v>558243</v>
      </c>
      <c r="E164" s="23">
        <f t="shared" si="55"/>
        <v>0.09131865513763719</v>
      </c>
      <c r="F164" s="21">
        <f>+C164-314633</f>
        <v>294588</v>
      </c>
      <c r="G164" s="21">
        <f>+D164-286154</f>
        <v>272089</v>
      </c>
      <c r="H164" s="23">
        <f t="shared" si="56"/>
        <v>0.08268985515768737</v>
      </c>
      <c r="I164" s="24">
        <f t="shared" si="57"/>
        <v>38.97899123634937</v>
      </c>
      <c r="J164" s="24">
        <f t="shared" si="58"/>
        <v>80.6102761144378</v>
      </c>
      <c r="K164" s="21">
        <v>23746820.02</v>
      </c>
      <c r="L164" s="21">
        <v>22258767.71</v>
      </c>
      <c r="M164" s="25">
        <f t="shared" si="59"/>
        <v>0.06685241201971277</v>
      </c>
      <c r="N164" s="10"/>
      <c r="R164" s="2"/>
    </row>
    <row r="165" spans="1:18" ht="15.75">
      <c r="A165" s="19"/>
      <c r="B165" s="20">
        <f>DATE(2014,9,1)</f>
        <v>41883</v>
      </c>
      <c r="C165" s="21">
        <v>511921</v>
      </c>
      <c r="D165" s="21">
        <v>517441</v>
      </c>
      <c r="E165" s="23">
        <f t="shared" si="55"/>
        <v>-0.010667882908389556</v>
      </c>
      <c r="F165" s="21">
        <f>+C165-263857</f>
        <v>248064</v>
      </c>
      <c r="G165" s="21">
        <f>+D165-263971</f>
        <v>253470</v>
      </c>
      <c r="H165" s="23">
        <f t="shared" si="56"/>
        <v>-0.021327967806841045</v>
      </c>
      <c r="I165" s="24">
        <f t="shared" si="57"/>
        <v>39.42456984573791</v>
      </c>
      <c r="J165" s="24">
        <f t="shared" si="58"/>
        <v>81.35910579527864</v>
      </c>
      <c r="K165" s="21">
        <v>20182265.22</v>
      </c>
      <c r="L165" s="21">
        <v>20216772.92</v>
      </c>
      <c r="M165" s="25">
        <f t="shared" si="59"/>
        <v>-0.0017068846811780372</v>
      </c>
      <c r="N165" s="10"/>
      <c r="R165" s="2"/>
    </row>
    <row r="166" spans="1:18" ht="15.75">
      <c r="A166" s="19"/>
      <c r="B166" s="20">
        <f>DATE(2014,10,1)</f>
        <v>41913</v>
      </c>
      <c r="C166" s="21">
        <v>541325</v>
      </c>
      <c r="D166" s="21">
        <v>507912</v>
      </c>
      <c r="E166" s="23">
        <f t="shared" si="55"/>
        <v>0.06578501787711256</v>
      </c>
      <c r="F166" s="21">
        <f>C166-282682</f>
        <v>258643</v>
      </c>
      <c r="G166" s="21">
        <f>D166-260802</f>
        <v>247110</v>
      </c>
      <c r="H166" s="23">
        <f t="shared" si="56"/>
        <v>0.04667152280360973</v>
      </c>
      <c r="I166" s="24">
        <f t="shared" si="57"/>
        <v>39.28028406225465</v>
      </c>
      <c r="J166" s="24">
        <f t="shared" si="58"/>
        <v>82.21138700834742</v>
      </c>
      <c r="K166" s="21">
        <v>21263399.77</v>
      </c>
      <c r="L166" s="21">
        <v>20213106.43</v>
      </c>
      <c r="M166" s="25">
        <f t="shared" si="59"/>
        <v>0.051961005777972344</v>
      </c>
      <c r="N166" s="10"/>
      <c r="R166" s="2"/>
    </row>
    <row r="167" spans="1:18" ht="15.75">
      <c r="A167" s="19"/>
      <c r="B167" s="20">
        <f>DATE(2014,11,1)</f>
        <v>41944</v>
      </c>
      <c r="C167" s="21">
        <v>521626</v>
      </c>
      <c r="D167" s="22">
        <v>546393</v>
      </c>
      <c r="E167" s="23">
        <f t="shared" si="55"/>
        <v>-0.0453281795337788</v>
      </c>
      <c r="F167" s="21">
        <f>C167-265041</f>
        <v>256585</v>
      </c>
      <c r="G167" s="21">
        <f>D167-280915</f>
        <v>265478</v>
      </c>
      <c r="H167" s="23">
        <f t="shared" si="56"/>
        <v>-0.03349806763648965</v>
      </c>
      <c r="I167" s="24">
        <f t="shared" si="57"/>
        <v>40.927469470463514</v>
      </c>
      <c r="J167" s="24">
        <f t="shared" si="58"/>
        <v>83.20374219069704</v>
      </c>
      <c r="K167" s="21">
        <v>21348832.19</v>
      </c>
      <c r="L167" s="21">
        <v>21593950.93</v>
      </c>
      <c r="M167" s="25">
        <f t="shared" si="59"/>
        <v>-0.011351268732368022</v>
      </c>
      <c r="N167" s="10"/>
      <c r="R167" s="2"/>
    </row>
    <row r="168" spans="1:18" ht="15.75">
      <c r="A168" s="19"/>
      <c r="B168" s="20">
        <f>DATE(2014,12,1)</f>
        <v>41974</v>
      </c>
      <c r="C168" s="21">
        <v>551022</v>
      </c>
      <c r="D168" s="22">
        <v>537612</v>
      </c>
      <c r="E168" s="23">
        <f t="shared" si="55"/>
        <v>0.02494363965090065</v>
      </c>
      <c r="F168" s="21">
        <f>+C168-283602</f>
        <v>267420</v>
      </c>
      <c r="G168" s="21">
        <f>+D168-278057</f>
        <v>259555</v>
      </c>
      <c r="H168" s="23">
        <f t="shared" si="56"/>
        <v>0.030301862803644698</v>
      </c>
      <c r="I168" s="24">
        <f t="shared" si="57"/>
        <v>40.77159294910185</v>
      </c>
      <c r="J168" s="24">
        <f t="shared" si="58"/>
        <v>84.01033838157207</v>
      </c>
      <c r="K168" s="21">
        <v>22466044.69</v>
      </c>
      <c r="L168" s="21">
        <v>20461384.44</v>
      </c>
      <c r="M168" s="25">
        <f t="shared" si="59"/>
        <v>0.09797285495897753</v>
      </c>
      <c r="N168" s="10"/>
      <c r="R168" s="2"/>
    </row>
    <row r="169" spans="1:18" ht="15.75">
      <c r="A169" s="19"/>
      <c r="B169" s="20">
        <f>DATE(2015,1,1)</f>
        <v>42005</v>
      </c>
      <c r="C169" s="21">
        <v>546386</v>
      </c>
      <c r="D169" s="22">
        <v>500303</v>
      </c>
      <c r="E169" s="23">
        <f t="shared" si="55"/>
        <v>0.09211018123017452</v>
      </c>
      <c r="F169" s="21">
        <f>+C169-283429</f>
        <v>262957</v>
      </c>
      <c r="G169" s="21">
        <f>+D169-263177</f>
        <v>237126</v>
      </c>
      <c r="H169" s="23">
        <f t="shared" si="56"/>
        <v>0.10893364709057632</v>
      </c>
      <c r="I169" s="24">
        <f t="shared" si="57"/>
        <v>40.49448648025388</v>
      </c>
      <c r="J169" s="24">
        <f t="shared" si="58"/>
        <v>84.14159155299154</v>
      </c>
      <c r="K169" s="21">
        <v>22125620.49</v>
      </c>
      <c r="L169" s="21">
        <v>19184098.81</v>
      </c>
      <c r="M169" s="25">
        <f t="shared" si="59"/>
        <v>0.1533312411040485</v>
      </c>
      <c r="N169" s="10"/>
      <c r="R169" s="2"/>
    </row>
    <row r="170" spans="1:18" ht="15.75">
      <c r="A170" s="19"/>
      <c r="B170" s="20">
        <f>DATE(2015,2,1)</f>
        <v>42036</v>
      </c>
      <c r="C170" s="21">
        <v>494675</v>
      </c>
      <c r="D170" s="22">
        <v>519346</v>
      </c>
      <c r="E170" s="23">
        <f t="shared" si="55"/>
        <v>-0.04750397615462524</v>
      </c>
      <c r="F170" s="21">
        <f>+C170-253754</f>
        <v>240921</v>
      </c>
      <c r="G170" s="21">
        <f>+D170-277043</f>
        <v>242303</v>
      </c>
      <c r="H170" s="23">
        <f t="shared" si="56"/>
        <v>-0.005703602514207418</v>
      </c>
      <c r="I170" s="24">
        <f t="shared" si="57"/>
        <v>42.98718489917623</v>
      </c>
      <c r="J170" s="24">
        <f t="shared" si="58"/>
        <v>88.26414339140217</v>
      </c>
      <c r="K170" s="21">
        <v>21264685.69</v>
      </c>
      <c r="L170" s="21">
        <v>20157277.85</v>
      </c>
      <c r="M170" s="25">
        <f t="shared" si="59"/>
        <v>0.05493836262221289</v>
      </c>
      <c r="N170" s="10"/>
      <c r="R170" s="2"/>
    </row>
    <row r="171" spans="1:18" ht="15.75">
      <c r="A171" s="19"/>
      <c r="B171" s="20">
        <f>DATE(2015,3,1)</f>
        <v>42064</v>
      </c>
      <c r="C171" s="21">
        <v>581763</v>
      </c>
      <c r="D171" s="22">
        <v>588800</v>
      </c>
      <c r="E171" s="23">
        <f t="shared" si="55"/>
        <v>-0.011951426630434782</v>
      </c>
      <c r="F171" s="21">
        <f>+C171-298398</f>
        <v>283365</v>
      </c>
      <c r="G171" s="21">
        <f>+D171-313314</f>
        <v>275486</v>
      </c>
      <c r="H171" s="23">
        <f t="shared" si="56"/>
        <v>0.028600364446832144</v>
      </c>
      <c r="I171" s="24">
        <f t="shared" si="57"/>
        <v>41.64211675544853</v>
      </c>
      <c r="J171" s="24">
        <f t="shared" si="58"/>
        <v>85.49341933548604</v>
      </c>
      <c r="K171" s="21">
        <v>24225842.77</v>
      </c>
      <c r="L171" s="21">
        <v>23482293.34</v>
      </c>
      <c r="M171" s="25">
        <f t="shared" si="59"/>
        <v>0.031664259501154826</v>
      </c>
      <c r="N171" s="10"/>
      <c r="R171" s="2"/>
    </row>
    <row r="172" spans="1:18" ht="15.75">
      <c r="A172" s="19"/>
      <c r="B172" s="20">
        <f>DATE(2015,4,1)</f>
        <v>42095</v>
      </c>
      <c r="C172" s="21">
        <v>510922</v>
      </c>
      <c r="D172" s="22">
        <v>529773</v>
      </c>
      <c r="E172" s="23">
        <f t="shared" si="55"/>
        <v>-0.03558316486495159</v>
      </c>
      <c r="F172" s="21">
        <f>+C172-263943</f>
        <v>246979</v>
      </c>
      <c r="G172" s="21">
        <f>+D172-278650</f>
        <v>251123</v>
      </c>
      <c r="H172" s="23">
        <f t="shared" si="56"/>
        <v>-0.016501873583861296</v>
      </c>
      <c r="I172" s="24">
        <f t="shared" si="57"/>
        <v>43.96811689455533</v>
      </c>
      <c r="J172" s="24">
        <f t="shared" si="58"/>
        <v>90.95622793840771</v>
      </c>
      <c r="K172" s="21">
        <v>22464278.22</v>
      </c>
      <c r="L172" s="21">
        <v>21751355.84</v>
      </c>
      <c r="M172" s="25">
        <f t="shared" si="59"/>
        <v>0.03277599728698103</v>
      </c>
      <c r="N172" s="10"/>
      <c r="R172" s="2"/>
    </row>
    <row r="173" spans="1:18" ht="15.75">
      <c r="A173" s="19"/>
      <c r="B173" s="20">
        <f>DATE(2015,5,1)</f>
        <v>42125</v>
      </c>
      <c r="C173" s="21">
        <v>544733</v>
      </c>
      <c r="D173" s="22">
        <v>551260</v>
      </c>
      <c r="E173" s="23">
        <f t="shared" si="55"/>
        <v>-0.011840148024525632</v>
      </c>
      <c r="F173" s="21">
        <f>+C173-274755</f>
        <v>269978</v>
      </c>
      <c r="G173" s="21">
        <f>+D173-285556</f>
        <v>265704</v>
      </c>
      <c r="H173" s="23">
        <f t="shared" si="56"/>
        <v>0.01608556890374251</v>
      </c>
      <c r="I173" s="24">
        <f t="shared" si="57"/>
        <v>43.08560472745363</v>
      </c>
      <c r="J173" s="24">
        <f t="shared" si="58"/>
        <v>86.93356762402863</v>
      </c>
      <c r="K173" s="21">
        <v>23470150.72</v>
      </c>
      <c r="L173" s="21">
        <v>22359046.19</v>
      </c>
      <c r="M173" s="25">
        <f t="shared" si="59"/>
        <v>0.04969373561636698</v>
      </c>
      <c r="N173" s="10"/>
      <c r="R173" s="2"/>
    </row>
    <row r="174" spans="1:18" ht="15.75" thickBot="1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7.25" thickBot="1" thickTop="1">
      <c r="A175" s="39" t="s">
        <v>14</v>
      </c>
      <c r="B175" s="40"/>
      <c r="C175" s="41">
        <f>SUM(C163:C174)</f>
        <v>5980871</v>
      </c>
      <c r="D175" s="41">
        <f>SUM(D163:D174)</f>
        <v>5914437</v>
      </c>
      <c r="E175" s="283">
        <f>(+C175-D175)/D175</f>
        <v>0.01123251460789928</v>
      </c>
      <c r="F175" s="41">
        <f>SUM(F163:F174)</f>
        <v>2899381</v>
      </c>
      <c r="G175" s="41">
        <f>SUM(G163:G174)</f>
        <v>2840368</v>
      </c>
      <c r="H175" s="42">
        <f>(+F175-G175)/G175</f>
        <v>0.020776533181615903</v>
      </c>
      <c r="I175" s="43">
        <f>K175/C175</f>
        <v>40.99244073647467</v>
      </c>
      <c r="J175" s="43">
        <f>K175/F175</f>
        <v>84.55960083203966</v>
      </c>
      <c r="K175" s="41">
        <f>SUM(K163:K174)</f>
        <v>245170500.02</v>
      </c>
      <c r="L175" s="41">
        <f>SUM(L163:L174)</f>
        <v>233143120.15</v>
      </c>
      <c r="M175" s="44">
        <f>(+K175-L175)/L175</f>
        <v>0.051587968207090176</v>
      </c>
      <c r="N175" s="10"/>
      <c r="R175" s="2"/>
    </row>
    <row r="176" spans="1:18" ht="15.75" customHeight="1" thickTop="1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.75">
      <c r="A177" s="19" t="s">
        <v>63</v>
      </c>
      <c r="B177" s="20">
        <f>DATE(2014,7,1)</f>
        <v>41821</v>
      </c>
      <c r="C177" s="21">
        <v>102496</v>
      </c>
      <c r="D177" s="21">
        <v>97183</v>
      </c>
      <c r="E177" s="23">
        <f aca="true" t="shared" si="60" ref="E177:E187">(+C177-D177)/D177</f>
        <v>0.054670055462375106</v>
      </c>
      <c r="F177" s="21">
        <f>+C177-50077</f>
        <v>52419</v>
      </c>
      <c r="G177" s="21">
        <f>+D177-48052</f>
        <v>49131</v>
      </c>
      <c r="H177" s="23">
        <f aca="true" t="shared" si="61" ref="H177:H182">(+F177-G177)/G177</f>
        <v>0.06692312389326495</v>
      </c>
      <c r="I177" s="24">
        <f aca="true" t="shared" si="62" ref="I177:I182">K177/C177</f>
        <v>32.590748321885734</v>
      </c>
      <c r="J177" s="24">
        <f aca="true" t="shared" si="63" ref="J177:J182">K177/F177</f>
        <v>63.72539231957877</v>
      </c>
      <c r="K177" s="21">
        <v>3340421.34</v>
      </c>
      <c r="L177" s="21">
        <v>3033658.45</v>
      </c>
      <c r="M177" s="25">
        <f aca="true" t="shared" si="64" ref="M177:M187">(+K177-L177)/L177</f>
        <v>0.10111978492502992</v>
      </c>
      <c r="N177" s="10"/>
      <c r="R177" s="2"/>
    </row>
    <row r="178" spans="1:18" ht="15.75">
      <c r="A178" s="19"/>
      <c r="B178" s="20">
        <f>DATE(2014,8,1)</f>
        <v>41852</v>
      </c>
      <c r="C178" s="21">
        <v>103432</v>
      </c>
      <c r="D178" s="21">
        <v>99168</v>
      </c>
      <c r="E178" s="23">
        <f t="shared" si="60"/>
        <v>0.04299774120684092</v>
      </c>
      <c r="F178" s="21">
        <f>+C178-51483</f>
        <v>51949</v>
      </c>
      <c r="G178" s="21">
        <f>+D178-49688</f>
        <v>49480</v>
      </c>
      <c r="H178" s="23">
        <f t="shared" si="61"/>
        <v>0.04989894907033145</v>
      </c>
      <c r="I178" s="24">
        <f t="shared" si="62"/>
        <v>33.31466528733854</v>
      </c>
      <c r="J178" s="24">
        <f t="shared" si="63"/>
        <v>66.33048682361547</v>
      </c>
      <c r="K178" s="21">
        <v>3445802.46</v>
      </c>
      <c r="L178" s="21">
        <v>3160851.05</v>
      </c>
      <c r="M178" s="25">
        <f t="shared" si="64"/>
        <v>0.0901502176130698</v>
      </c>
      <c r="N178" s="10"/>
      <c r="R178" s="2"/>
    </row>
    <row r="179" spans="1:18" ht="15.75">
      <c r="A179" s="19"/>
      <c r="B179" s="20">
        <f>DATE(2014,9,1)</f>
        <v>41883</v>
      </c>
      <c r="C179" s="21">
        <v>97371</v>
      </c>
      <c r="D179" s="21">
        <v>92299</v>
      </c>
      <c r="E179" s="23">
        <f t="shared" si="60"/>
        <v>0.05495184129838893</v>
      </c>
      <c r="F179" s="21">
        <f>+C179-46879</f>
        <v>50492</v>
      </c>
      <c r="G179" s="21">
        <f>+D179-46130</f>
        <v>46169</v>
      </c>
      <c r="H179" s="23">
        <f t="shared" si="61"/>
        <v>0.09363425675236631</v>
      </c>
      <c r="I179" s="24">
        <f t="shared" si="62"/>
        <v>31.609307494017724</v>
      </c>
      <c r="J179" s="24">
        <f t="shared" si="63"/>
        <v>60.95678285669017</v>
      </c>
      <c r="K179" s="21">
        <v>3077829.88</v>
      </c>
      <c r="L179" s="21">
        <v>2993803.06</v>
      </c>
      <c r="M179" s="25">
        <f t="shared" si="64"/>
        <v>0.02806691633216509</v>
      </c>
      <c r="N179" s="10"/>
      <c r="R179" s="2"/>
    </row>
    <row r="180" spans="1:18" ht="15.75">
      <c r="A180" s="19"/>
      <c r="B180" s="20">
        <f>DATE(2014,10,1)</f>
        <v>41913</v>
      </c>
      <c r="C180" s="21">
        <v>97775</v>
      </c>
      <c r="D180" s="21">
        <v>93567</v>
      </c>
      <c r="E180" s="23">
        <f t="shared" si="60"/>
        <v>0.044973120865262325</v>
      </c>
      <c r="F180" s="21">
        <f>C180-48511</f>
        <v>49264</v>
      </c>
      <c r="G180" s="21">
        <f>D180-45748</f>
        <v>47819</v>
      </c>
      <c r="H180" s="23">
        <f t="shared" si="61"/>
        <v>0.030218114138731468</v>
      </c>
      <c r="I180" s="24">
        <f t="shared" si="62"/>
        <v>31.781869394016873</v>
      </c>
      <c r="J180" s="24">
        <f t="shared" si="63"/>
        <v>63.0779530691783</v>
      </c>
      <c r="K180" s="21">
        <v>3107472.28</v>
      </c>
      <c r="L180" s="21">
        <v>3096973.24</v>
      </c>
      <c r="M180" s="25">
        <f t="shared" si="64"/>
        <v>0.0033900971000962125</v>
      </c>
      <c r="N180" s="10"/>
      <c r="R180" s="2"/>
    </row>
    <row r="181" spans="1:18" ht="15.75">
      <c r="A181" s="19"/>
      <c r="B181" s="20">
        <f>DATE(2014,11,1)</f>
        <v>41944</v>
      </c>
      <c r="C181" s="21">
        <v>92234</v>
      </c>
      <c r="D181" s="22">
        <v>92984</v>
      </c>
      <c r="E181" s="23">
        <f t="shared" si="60"/>
        <v>-0.008065903811408414</v>
      </c>
      <c r="F181" s="21">
        <f>C181-46503</f>
        <v>45731</v>
      </c>
      <c r="G181" s="21">
        <f>D181-46573</f>
        <v>46411</v>
      </c>
      <c r="H181" s="23">
        <f t="shared" si="61"/>
        <v>-0.014651698950679796</v>
      </c>
      <c r="I181" s="24">
        <f t="shared" si="62"/>
        <v>32.76628130624282</v>
      </c>
      <c r="J181" s="24">
        <f t="shared" si="63"/>
        <v>66.08570094684131</v>
      </c>
      <c r="K181" s="21">
        <v>3022165.19</v>
      </c>
      <c r="L181" s="21">
        <v>2930934.78</v>
      </c>
      <c r="M181" s="25">
        <f t="shared" si="64"/>
        <v>0.031126728108224967</v>
      </c>
      <c r="N181" s="10"/>
      <c r="R181" s="2"/>
    </row>
    <row r="182" spans="1:18" ht="15.75">
      <c r="A182" s="19"/>
      <c r="B182" s="20">
        <f>DATE(2014,12,1)</f>
        <v>41974</v>
      </c>
      <c r="C182" s="21">
        <v>105150</v>
      </c>
      <c r="D182" s="22">
        <v>89488</v>
      </c>
      <c r="E182" s="23">
        <f t="shared" si="60"/>
        <v>0.17501787949222242</v>
      </c>
      <c r="F182" s="21">
        <f>+C182-52693</f>
        <v>52457</v>
      </c>
      <c r="G182" s="21">
        <f>+D182-45008</f>
        <v>44480</v>
      </c>
      <c r="H182" s="23">
        <f t="shared" si="61"/>
        <v>0.1793390287769784</v>
      </c>
      <c r="I182" s="24">
        <f t="shared" si="62"/>
        <v>29.142140561103187</v>
      </c>
      <c r="J182" s="24">
        <f t="shared" si="63"/>
        <v>58.41538936652878</v>
      </c>
      <c r="K182" s="21">
        <f>3064296.08</f>
        <v>3064296.08</v>
      </c>
      <c r="L182" s="21">
        <v>2902152.4</v>
      </c>
      <c r="M182" s="25">
        <f t="shared" si="64"/>
        <v>0.05587014658499677</v>
      </c>
      <c r="N182" s="10"/>
      <c r="R182" s="2"/>
    </row>
    <row r="183" spans="1:18" ht="15.75">
      <c r="A183" s="19"/>
      <c r="B183" s="20">
        <f>DATE(2015,1,1)</f>
        <v>42005</v>
      </c>
      <c r="C183" s="21">
        <v>101607</v>
      </c>
      <c r="D183" s="22">
        <v>90881</v>
      </c>
      <c r="E183" s="23">
        <f t="shared" si="60"/>
        <v>0.11802246894290336</v>
      </c>
      <c r="F183" s="21">
        <f>+C183-51822</f>
        <v>49785</v>
      </c>
      <c r="G183" s="21">
        <f>+D183-46695</f>
        <v>44186</v>
      </c>
      <c r="H183" s="23">
        <f>(+F183-G183)/G183</f>
        <v>0.12671434390983569</v>
      </c>
      <c r="I183" s="24">
        <f>K183/C183</f>
        <v>32.923131870835675</v>
      </c>
      <c r="J183" s="24">
        <f>K183/F183</f>
        <v>67.19334458170133</v>
      </c>
      <c r="K183" s="21">
        <v>3345220.66</v>
      </c>
      <c r="L183" s="21">
        <v>2994871.91</v>
      </c>
      <c r="M183" s="25">
        <f t="shared" si="64"/>
        <v>0.11698288291735322</v>
      </c>
      <c r="N183" s="10"/>
      <c r="R183" s="2"/>
    </row>
    <row r="184" spans="1:18" ht="15.75">
      <c r="A184" s="19"/>
      <c r="B184" s="20">
        <f>DATE(2015,2,1)</f>
        <v>42036</v>
      </c>
      <c r="C184" s="21">
        <v>101958</v>
      </c>
      <c r="D184" s="22">
        <v>102548</v>
      </c>
      <c r="E184" s="23">
        <f t="shared" si="60"/>
        <v>-0.005753403284315638</v>
      </c>
      <c r="F184" s="21">
        <f>+C184-52434</f>
        <v>49524</v>
      </c>
      <c r="G184" s="21">
        <f>+D184-52781</f>
        <v>49767</v>
      </c>
      <c r="H184" s="23">
        <f>(+F184-G184)/G184</f>
        <v>-0.0048827536319247695</v>
      </c>
      <c r="I184" s="24">
        <f>K184/C184</f>
        <v>32.986179995684495</v>
      </c>
      <c r="J184" s="24">
        <f>K184/F184</f>
        <v>67.9106077861239</v>
      </c>
      <c r="K184" s="21">
        <v>3363204.94</v>
      </c>
      <c r="L184" s="21">
        <v>3367323.72</v>
      </c>
      <c r="M184" s="25">
        <f t="shared" si="64"/>
        <v>-0.0012231612825155582</v>
      </c>
      <c r="N184" s="10"/>
      <c r="R184" s="2"/>
    </row>
    <row r="185" spans="1:18" ht="15.75">
      <c r="A185" s="19"/>
      <c r="B185" s="20">
        <f>DATE(2015,3,1)</f>
        <v>42064</v>
      </c>
      <c r="C185" s="21">
        <v>111239</v>
      </c>
      <c r="D185" s="22">
        <v>109037</v>
      </c>
      <c r="E185" s="23">
        <f t="shared" si="60"/>
        <v>0.020194979685794732</v>
      </c>
      <c r="F185" s="21">
        <f>+C185-55982</f>
        <v>55257</v>
      </c>
      <c r="G185" s="21">
        <f>+D185-55184</f>
        <v>53853</v>
      </c>
      <c r="H185" s="23">
        <f>(+F185-G185)/G185</f>
        <v>0.02607097097654727</v>
      </c>
      <c r="I185" s="24">
        <f>K185/C185</f>
        <v>33.76005411771052</v>
      </c>
      <c r="J185" s="24">
        <f>K185/F185</f>
        <v>67.96305735019997</v>
      </c>
      <c r="K185" s="21">
        <v>3755434.66</v>
      </c>
      <c r="L185" s="21">
        <v>3654498.49</v>
      </c>
      <c r="M185" s="25">
        <f t="shared" si="64"/>
        <v>0.02761970494069076</v>
      </c>
      <c r="N185" s="10"/>
      <c r="R185" s="2"/>
    </row>
    <row r="186" spans="1:18" ht="15.75">
      <c r="A186" s="19"/>
      <c r="B186" s="20">
        <f>DATE(2015,4,1)</f>
        <v>42095</v>
      </c>
      <c r="C186" s="21">
        <v>102334</v>
      </c>
      <c r="D186" s="22">
        <v>102131</v>
      </c>
      <c r="E186" s="23">
        <f t="shared" si="60"/>
        <v>0.001987643320833048</v>
      </c>
      <c r="F186" s="21">
        <f>+C186-50728</f>
        <v>51606</v>
      </c>
      <c r="G186" s="21">
        <f>+D186-50241</f>
        <v>51890</v>
      </c>
      <c r="H186" s="23">
        <f>(+F186-G186)/G186</f>
        <v>-0.005473116207361727</v>
      </c>
      <c r="I186" s="24">
        <f>K186/C186</f>
        <v>35.30574696581781</v>
      </c>
      <c r="J186" s="24">
        <f>K186/F186</f>
        <v>70.01081870325156</v>
      </c>
      <c r="K186" s="21">
        <v>3612978.31</v>
      </c>
      <c r="L186" s="21">
        <v>3374058.91</v>
      </c>
      <c r="M186" s="25">
        <f t="shared" si="64"/>
        <v>0.07081067828777177</v>
      </c>
      <c r="N186" s="10"/>
      <c r="R186" s="2"/>
    </row>
    <row r="187" spans="1:18" ht="15.75">
      <c r="A187" s="19"/>
      <c r="B187" s="20">
        <f>DATE(2015,5,1)</f>
        <v>42125</v>
      </c>
      <c r="C187" s="21">
        <v>113621</v>
      </c>
      <c r="D187" s="22">
        <v>99019</v>
      </c>
      <c r="E187" s="23">
        <f t="shared" si="60"/>
        <v>0.1474666478150658</v>
      </c>
      <c r="F187" s="21">
        <f>+C187-55456</f>
        <v>58165</v>
      </c>
      <c r="G187" s="21">
        <f>+D187-48913</f>
        <v>50106</v>
      </c>
      <c r="H187" s="23">
        <f>(+F187-G187)/G187</f>
        <v>0.16083902127489721</v>
      </c>
      <c r="I187" s="24">
        <f>K187/C187</f>
        <v>32.310309713873316</v>
      </c>
      <c r="J187" s="24">
        <f>K187/F187</f>
        <v>63.115786125676955</v>
      </c>
      <c r="K187" s="21">
        <v>3671129.7</v>
      </c>
      <c r="L187" s="21">
        <v>3310036.64</v>
      </c>
      <c r="M187" s="25">
        <f t="shared" si="64"/>
        <v>0.10909035133822569</v>
      </c>
      <c r="N187" s="10"/>
      <c r="R187" s="2"/>
    </row>
    <row r="188" spans="1:18" ht="15.75" thickBot="1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7.25" thickBot="1" thickTop="1">
      <c r="A189" s="26" t="s">
        <v>14</v>
      </c>
      <c r="B189" s="27"/>
      <c r="C189" s="28">
        <f>SUM(C177:C188)</f>
        <v>1129217</v>
      </c>
      <c r="D189" s="28">
        <f>SUM(D177:D188)</f>
        <v>1068305</v>
      </c>
      <c r="E189" s="283">
        <f>(+C189-D189)/D189</f>
        <v>0.05701742479909764</v>
      </c>
      <c r="F189" s="28">
        <f>SUM(F177:F188)</f>
        <v>566649</v>
      </c>
      <c r="G189" s="28">
        <f>SUM(G177:G188)</f>
        <v>533292</v>
      </c>
      <c r="H189" s="42">
        <f>(+F189-G189)/G189</f>
        <v>0.06254922256474876</v>
      </c>
      <c r="I189" s="43">
        <f>K189/C189</f>
        <v>32.59422723887437</v>
      </c>
      <c r="J189" s="43">
        <f>K189/F189</f>
        <v>64.95371120393753</v>
      </c>
      <c r="K189" s="28">
        <f>SUM(K177:K188)</f>
        <v>36805955.5</v>
      </c>
      <c r="L189" s="28">
        <f>SUM(L177:L188)</f>
        <v>34819162.65</v>
      </c>
      <c r="M189" s="44">
        <f>(+K189-L189)/L189</f>
        <v>0.057060328244280784</v>
      </c>
      <c r="N189" s="10"/>
      <c r="R189" s="2"/>
    </row>
    <row r="190" spans="1:18" ht="16.5" thickBot="1" thickTop="1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7.25" thickBot="1" thickTop="1">
      <c r="A191" s="64" t="s">
        <v>20</v>
      </c>
      <c r="B191" s="65"/>
      <c r="C191" s="28">
        <f>C189+C175+C77+C105+C119+C49+C21+C133+C147+C63+C161+C35+C91</f>
        <v>40375283</v>
      </c>
      <c r="D191" s="28">
        <f>D189+D175+D77+D105+D119+D49+D21+D133+D147+D63+D161+D35+D91</f>
        <v>41276066</v>
      </c>
      <c r="E191" s="282">
        <f>(+C191-D191)/D191</f>
        <v>-0.021823373380593005</v>
      </c>
      <c r="F191" s="28">
        <f>F189+F175+F77+F105+F119+F49+F21+F133+F147+F63+F161+F35+F91</f>
        <v>20130275</v>
      </c>
      <c r="G191" s="28">
        <f>G189+G175+G77+G105+G119+G49+G21+G133+G147+G63+G161+G35+G91</f>
        <v>20373021</v>
      </c>
      <c r="H191" s="30">
        <f>(+F191-G191)/G191</f>
        <v>-0.011915071407426517</v>
      </c>
      <c r="I191" s="31">
        <f>K191/C191</f>
        <v>38.35251656415634</v>
      </c>
      <c r="J191" s="31">
        <f>K191/F191</f>
        <v>76.92362424457689</v>
      </c>
      <c r="K191" s="28">
        <f>K189+K175+K77+K105+K119+K49+K21+K133+K147+K63+K161+K35+K91</f>
        <v>1548493710.04</v>
      </c>
      <c r="L191" s="28">
        <f>L189+L175+L77+L105+L119+L49+L21+L133+L147+L63+L161+L35+L91</f>
        <v>1528942382.21</v>
      </c>
      <c r="M191" s="32">
        <f>(+K191-L191)/L191</f>
        <v>0.012787485033765355</v>
      </c>
      <c r="N191" s="10"/>
      <c r="R191" s="2"/>
    </row>
    <row r="192" spans="1:18" ht="17.25" thickBot="1" thickTop="1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7.25" thickBot="1" thickTop="1">
      <c r="A193" s="64" t="s">
        <v>21</v>
      </c>
      <c r="B193" s="65"/>
      <c r="C193" s="28">
        <f>+C19+C33+C47+C61+C75+C89+C103+C117+C131+C145+C159+C173+C187</f>
        <v>3837165</v>
      </c>
      <c r="D193" s="28">
        <f>+D19+D33+D47+D61+D75+D89+D103+D117+D131+D145+D159+D173+D187</f>
        <v>3914561</v>
      </c>
      <c r="E193" s="282">
        <f>(+C193-D193)/D193</f>
        <v>-0.019771310243983937</v>
      </c>
      <c r="F193" s="28">
        <f>+F19+F33+F47+F61+F75+F89+F103+F117+F131+F145+F159+F173+F187</f>
        <v>1915423</v>
      </c>
      <c r="G193" s="28">
        <f>+G19+G33+G47+G61+G75+G89+G103+G117+G131+G145+G159+G173+G187</f>
        <v>1957704</v>
      </c>
      <c r="H193" s="30">
        <f>(+F193-G193)/G193</f>
        <v>-0.021597238397633146</v>
      </c>
      <c r="I193" s="31">
        <f>K193/C193</f>
        <v>39.71754092669979</v>
      </c>
      <c r="J193" s="31">
        <f>K193/F193</f>
        <v>79.56611042573886</v>
      </c>
      <c r="K193" s="28">
        <f>+K19+K33+K47+K61+K75+K89+K103+K117+K131+K145+K159+K173+K187</f>
        <v>152402757.93</v>
      </c>
      <c r="L193" s="28">
        <f>+L19+L33+L47+L61+L75+L89+L103+L117+L131+L145+L159+L173+L187</f>
        <v>148595737.75000003</v>
      </c>
      <c r="M193" s="44">
        <f>(+K193-L193)/L193</f>
        <v>0.025619982360496587</v>
      </c>
      <c r="N193" s="10"/>
      <c r="R193" s="2"/>
    </row>
    <row r="194" spans="1:18" ht="15.75" thickTop="1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ht="15.75">
      <c r="A195" s="256" t="s">
        <v>70</v>
      </c>
      <c r="B195" s="258"/>
      <c r="C195" s="259"/>
      <c r="D195" s="259"/>
      <c r="E195" s="259"/>
      <c r="F195" s="260"/>
      <c r="G195" s="257"/>
      <c r="H195" s="257"/>
      <c r="I195" s="261"/>
      <c r="J195" s="261"/>
      <c r="K195" s="262"/>
      <c r="L195" s="262"/>
      <c r="M195" s="261"/>
      <c r="R195" s="2"/>
    </row>
    <row r="196" spans="1:18" ht="18.75">
      <c r="A196" s="266" t="s">
        <v>22</v>
      </c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8">
      <c r="A197" s="69"/>
      <c r="B197" s="70"/>
      <c r="C197" s="71"/>
      <c r="D197" s="71"/>
      <c r="E197" s="71"/>
      <c r="F197" s="71"/>
      <c r="G197" s="71"/>
      <c r="H197" s="71"/>
      <c r="I197" s="71"/>
      <c r="J197" s="71"/>
      <c r="K197" s="198"/>
      <c r="L197" s="198"/>
      <c r="M197" s="71"/>
      <c r="N197" s="2"/>
      <c r="O197" s="2"/>
      <c r="P197" s="2"/>
      <c r="Q197" s="2"/>
      <c r="R197" s="2"/>
    </row>
    <row r="198" spans="1:18" ht="15.75">
      <c r="A198" s="7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ht="15">
      <c r="A208" s="2"/>
      <c r="B208" s="73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ht="15">
      <c r="A209" s="2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4"/>
      <c r="N209" s="2"/>
      <c r="O209" s="2"/>
      <c r="P209" s="2"/>
      <c r="Q209" s="2"/>
      <c r="R209" s="2"/>
    </row>
    <row r="210" spans="1:18" ht="15.7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.7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.75">
      <c r="A212" s="76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70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.75">
      <c r="A214" s="76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3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77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.75">
      <c r="A227" s="76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>
      <c r="A231" s="76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.75">
      <c r="A232" s="76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77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.75">
      <c r="A245" s="76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.75">
      <c r="A248" s="76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77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.75">
      <c r="A254" s="76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.75">
      <c r="A257" s="76"/>
      <c r="B257" s="76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74"/>
      <c r="D340" s="74"/>
      <c r="E340" s="74"/>
      <c r="F340" s="74"/>
      <c r="G340" s="74"/>
      <c r="H340" s="74"/>
      <c r="I340" s="74"/>
      <c r="J340" s="74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  <row r="466" spans="1:18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2"/>
      <c r="L466" s="192"/>
      <c r="M466" s="75"/>
      <c r="N466" s="2"/>
      <c r="O466" s="2"/>
      <c r="P466" s="2"/>
      <c r="Q466" s="2"/>
      <c r="R466" s="2"/>
    </row>
  </sheetData>
  <sheetProtection/>
  <printOptions horizontalCentered="1"/>
  <pageMargins left="0.45" right="0.25" top="0.319444444444444" bottom="0.2" header="0.5" footer="0.25"/>
  <pageSetup horizontalDpi="600" verticalDpi="600" orientation="landscape" scale="66" r:id="rId1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5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8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9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DATE(2014,7,1)</f>
        <v>41821</v>
      </c>
      <c r="B10" s="89">
        <f>'MONTHLY STATS'!$C$9*2</f>
        <v>534328</v>
      </c>
      <c r="C10" s="89">
        <f>'MONTHLY STATS'!$C$23*2</f>
        <v>348074</v>
      </c>
      <c r="D10" s="89">
        <f>'MONTHLY STATS'!$C$37*2</f>
        <v>144802</v>
      </c>
      <c r="E10" s="89">
        <f>'MONTHLY STATS'!$C$51*2</f>
        <v>843066</v>
      </c>
      <c r="F10" s="89">
        <f>'MONTHLY STATS'!$C$65*2</f>
        <v>638396</v>
      </c>
      <c r="G10" s="89">
        <f>'MONTHLY STATS'!$C$79*2</f>
        <v>339030</v>
      </c>
      <c r="H10" s="89">
        <f>'MONTHLY STATS'!$C$93*2</f>
        <v>475068</v>
      </c>
      <c r="I10" s="89">
        <f>'MONTHLY STATS'!$C$107*2</f>
        <v>763554</v>
      </c>
      <c r="J10" s="89">
        <f>'MONTHLY STATS'!$C$121*2</f>
        <v>1026776</v>
      </c>
      <c r="K10" s="89">
        <f>'MONTHLY STATS'!$C$135*2</f>
        <v>996478</v>
      </c>
      <c r="L10" s="89">
        <f>'MONTHLY STATS'!$C$149*2</f>
        <v>169998</v>
      </c>
      <c r="M10" s="89">
        <f>'MONTHLY STATS'!$C$163*2</f>
        <v>1134554</v>
      </c>
      <c r="N10" s="89">
        <f>'MONTHLY STATS'!$C$177*2</f>
        <v>204992</v>
      </c>
      <c r="O10" s="90">
        <f aca="true" t="shared" si="0" ref="O10:O15">SUM(B10:N10)</f>
        <v>7619116</v>
      </c>
      <c r="P10" s="83"/>
    </row>
    <row r="11" spans="1:16" ht="15.75">
      <c r="A11" s="88">
        <f>DATE(2014,8,1)</f>
        <v>41852</v>
      </c>
      <c r="B11" s="89">
        <f>'MONTHLY STATS'!$C$10*2</f>
        <v>555330</v>
      </c>
      <c r="C11" s="89">
        <f>'MONTHLY STATS'!$C$24*2</f>
        <v>360948</v>
      </c>
      <c r="D11" s="89">
        <f>'MONTHLY STATS'!$C$38*2</f>
        <v>156554</v>
      </c>
      <c r="E11" s="89">
        <f>'MONTHLY STATS'!$C$52*2</f>
        <v>844738</v>
      </c>
      <c r="F11" s="89">
        <f>'MONTHLY STATS'!$C$66*2</f>
        <v>688408</v>
      </c>
      <c r="G11" s="89">
        <f>'MONTHLY STATS'!$C$80*2</f>
        <v>362574</v>
      </c>
      <c r="H11" s="89">
        <f>'MONTHLY STATS'!$C$94*2</f>
        <v>459542</v>
      </c>
      <c r="I11" s="89">
        <f>'MONTHLY STATS'!$C$108*2</f>
        <v>797174</v>
      </c>
      <c r="J11" s="89">
        <f>'MONTHLY STATS'!$C$122*2</f>
        <v>1007692</v>
      </c>
      <c r="K11" s="89">
        <f>'MONTHLY STATS'!$C$136*2</f>
        <v>1096544</v>
      </c>
      <c r="L11" s="89">
        <f>'MONTHLY STATS'!$C$150*2</f>
        <v>178614</v>
      </c>
      <c r="M11" s="89">
        <f>'MONTHLY STATS'!$C$164*2</f>
        <v>1218442</v>
      </c>
      <c r="N11" s="89">
        <f>'MONTHLY STATS'!$C$178*2</f>
        <v>206864</v>
      </c>
      <c r="O11" s="90">
        <f t="shared" si="0"/>
        <v>7933424</v>
      </c>
      <c r="P11" s="83"/>
    </row>
    <row r="12" spans="1:16" ht="15.75">
      <c r="A12" s="88">
        <f>DATE(2014,9,1)</f>
        <v>41883</v>
      </c>
      <c r="B12" s="89">
        <f>'MONTHLY STATS'!$C$11*2</f>
        <v>496316</v>
      </c>
      <c r="C12" s="89">
        <f>'MONTHLY STATS'!$C$25*2</f>
        <v>318052</v>
      </c>
      <c r="D12" s="89">
        <f>'MONTHLY STATS'!$C$39*2</f>
        <v>127556</v>
      </c>
      <c r="E12" s="89">
        <f>'MONTHLY STATS'!$C$53*2</f>
        <v>751906</v>
      </c>
      <c r="F12" s="89">
        <f>'MONTHLY STATS'!$C$67*2</f>
        <v>627684</v>
      </c>
      <c r="G12" s="89">
        <f>'MONTHLY STATS'!$C$81*2</f>
        <v>300264</v>
      </c>
      <c r="H12" s="89">
        <f>'MONTHLY STATS'!$C$95*2</f>
        <v>408646</v>
      </c>
      <c r="I12" s="89">
        <f>'MONTHLY STATS'!$C$109*2</f>
        <v>698838</v>
      </c>
      <c r="J12" s="89">
        <f>'MONTHLY STATS'!$C$123*2</f>
        <v>847766</v>
      </c>
      <c r="K12" s="89">
        <f>'MONTHLY STATS'!$C$137*2</f>
        <v>924254</v>
      </c>
      <c r="L12" s="89">
        <f>'MONTHLY STATS'!$C$151*2</f>
        <v>156860</v>
      </c>
      <c r="M12" s="89">
        <f>'MONTHLY STATS'!$C$165*2</f>
        <v>1023842</v>
      </c>
      <c r="N12" s="89">
        <f>'MONTHLY STATS'!$C$179*2</f>
        <v>194742</v>
      </c>
      <c r="O12" s="90">
        <f t="shared" si="0"/>
        <v>6876726</v>
      </c>
      <c r="P12" s="83"/>
    </row>
    <row r="13" spans="1:16" ht="15.75">
      <c r="A13" s="88">
        <f>DATE(2014,10,1)</f>
        <v>41913</v>
      </c>
      <c r="B13" s="89">
        <f>'MONTHLY STATS'!$C$12*2</f>
        <v>532130</v>
      </c>
      <c r="C13" s="89">
        <f>'MONTHLY STATS'!$C$26*2</f>
        <v>322048</v>
      </c>
      <c r="D13" s="89">
        <f>'MONTHLY STATS'!$C$40*2</f>
        <v>136240</v>
      </c>
      <c r="E13" s="89">
        <f>'MONTHLY STATS'!$C$54*2</f>
        <v>819700</v>
      </c>
      <c r="F13" s="89">
        <f>'MONTHLY STATS'!$C$68*2</f>
        <v>627552</v>
      </c>
      <c r="G13" s="89">
        <f>'MONTHLY STATS'!$C$82*2</f>
        <v>321702</v>
      </c>
      <c r="H13" s="89">
        <f>'MONTHLY STATS'!$C$96*2</f>
        <v>421524</v>
      </c>
      <c r="I13" s="89">
        <f>'MONTHLY STATS'!$C$110*2</f>
        <v>693660</v>
      </c>
      <c r="J13" s="89">
        <f>'MONTHLY STATS'!$C$124*2</f>
        <v>847102</v>
      </c>
      <c r="K13" s="89">
        <f>'MONTHLY STATS'!$C$138*2</f>
        <v>978756</v>
      </c>
      <c r="L13" s="89">
        <f>'MONTHLY STATS'!$C$152*2</f>
        <v>164398</v>
      </c>
      <c r="M13" s="89">
        <f>'MONTHLY STATS'!$C$166*2</f>
        <v>1082650</v>
      </c>
      <c r="N13" s="89">
        <f>'MONTHLY STATS'!$C$180*2</f>
        <v>195550</v>
      </c>
      <c r="O13" s="90">
        <f t="shared" si="0"/>
        <v>7143012</v>
      </c>
      <c r="P13" s="83"/>
    </row>
    <row r="14" spans="1:16" ht="15.75">
      <c r="A14" s="88">
        <f>DATE(2014,11,1)</f>
        <v>41944</v>
      </c>
      <c r="B14" s="89">
        <f>'MONTHLY STATS'!$C$13*2</f>
        <v>539048</v>
      </c>
      <c r="C14" s="89">
        <f>'MONTHLY STATS'!$C$27*2</f>
        <v>307988</v>
      </c>
      <c r="D14" s="89">
        <f>'MONTHLY STATS'!$C$41*2</f>
        <v>141766</v>
      </c>
      <c r="E14" s="89">
        <f>'MONTHLY STATS'!$C$55*2</f>
        <v>813108</v>
      </c>
      <c r="F14" s="89">
        <f>'MONTHLY STATS'!$C$69*2</f>
        <v>630346</v>
      </c>
      <c r="G14" s="89">
        <f>'MONTHLY STATS'!$C$83*2</f>
        <v>319278</v>
      </c>
      <c r="H14" s="89">
        <f>'MONTHLY STATS'!$C$97*2</f>
        <v>403380</v>
      </c>
      <c r="I14" s="89">
        <f>'MONTHLY STATS'!$C$111*2</f>
        <v>637300</v>
      </c>
      <c r="J14" s="89">
        <f>'MONTHLY STATS'!$C$125*2</f>
        <v>863898</v>
      </c>
      <c r="K14" s="89">
        <f>'MONTHLY STATS'!$C$139*2</f>
        <v>968416</v>
      </c>
      <c r="L14" s="89">
        <f>'MONTHLY STATS'!$C$153*2</f>
        <v>157562</v>
      </c>
      <c r="M14" s="89">
        <f>'MONTHLY STATS'!$C$167*2</f>
        <v>1043252</v>
      </c>
      <c r="N14" s="89">
        <f>'MONTHLY STATS'!$C$181*2</f>
        <v>184468</v>
      </c>
      <c r="O14" s="90">
        <f t="shared" si="0"/>
        <v>7009810</v>
      </c>
      <c r="P14" s="83"/>
    </row>
    <row r="15" spans="1:16" ht="15.75">
      <c r="A15" s="88">
        <f>DATE(2014,12,1)</f>
        <v>41974</v>
      </c>
      <c r="B15" s="89">
        <f>'MONTHLY STATS'!$C$14*2</f>
        <v>560402</v>
      </c>
      <c r="C15" s="89">
        <f>'MONTHLY STATS'!$C$28*2</f>
        <v>303690</v>
      </c>
      <c r="D15" s="89">
        <f>'MONTHLY STATS'!$C$42*2</f>
        <v>144870</v>
      </c>
      <c r="E15" s="89">
        <f>'MONTHLY STATS'!$C$56*2</f>
        <v>861314</v>
      </c>
      <c r="F15" s="89">
        <f>'MONTHLY STATS'!$C$70*2</f>
        <v>652644</v>
      </c>
      <c r="G15" s="89">
        <f>'MONTHLY STATS'!$C$84*2</f>
        <v>320744</v>
      </c>
      <c r="H15" s="89">
        <f>'MONTHLY STATS'!$C$98*2</f>
        <v>437546</v>
      </c>
      <c r="I15" s="89">
        <f>'MONTHLY STATS'!$C$112*2</f>
        <v>619714</v>
      </c>
      <c r="J15" s="89">
        <f>'MONTHLY STATS'!$C$126*2</f>
        <v>891590</v>
      </c>
      <c r="K15" s="89">
        <f>'MONTHLY STATS'!$C$140*2</f>
        <v>985236</v>
      </c>
      <c r="L15" s="89">
        <f>'MONTHLY STATS'!$C$154*2</f>
        <v>177512</v>
      </c>
      <c r="M15" s="89">
        <f>'MONTHLY STATS'!$C$168*2</f>
        <v>1102044</v>
      </c>
      <c r="N15" s="89">
        <f>'MONTHLY STATS'!$C$182*2</f>
        <v>210300</v>
      </c>
      <c r="O15" s="90">
        <f t="shared" si="0"/>
        <v>7267606</v>
      </c>
      <c r="P15" s="83"/>
    </row>
    <row r="16" spans="1:16" ht="15.75">
      <c r="A16" s="88">
        <f>DATE(2015,1,1)</f>
        <v>42005</v>
      </c>
      <c r="B16" s="89">
        <f>'MONTHLY STATS'!$C$15*2</f>
        <v>559524</v>
      </c>
      <c r="C16" s="89">
        <f>'MONTHLY STATS'!$C$29*2</f>
        <v>330880</v>
      </c>
      <c r="D16" s="89">
        <f>'MONTHLY STATS'!$C$43*2</f>
        <v>146816</v>
      </c>
      <c r="E16" s="89">
        <f>'MONTHLY STATS'!$C$57*2</f>
        <v>888234</v>
      </c>
      <c r="F16" s="89">
        <f>'MONTHLY STATS'!$C$71*2</f>
        <v>635848</v>
      </c>
      <c r="G16" s="89">
        <f>'MONTHLY STATS'!$C$85*2</f>
        <v>328974</v>
      </c>
      <c r="H16" s="89">
        <f>'MONTHLY STATS'!$C$99*2</f>
        <v>431158</v>
      </c>
      <c r="I16" s="89">
        <f>'MONTHLY STATS'!$C$113*2</f>
        <v>588916</v>
      </c>
      <c r="J16" s="89">
        <f>'MONTHLY STATS'!$C$127*2</f>
        <v>925782</v>
      </c>
      <c r="K16" s="89">
        <f>'MONTHLY STATS'!$C$141*2</f>
        <v>996352</v>
      </c>
      <c r="L16" s="89">
        <f>'MONTHLY STATS'!$C$155*2</f>
        <v>161824</v>
      </c>
      <c r="M16" s="89">
        <f>'MONTHLY STATS'!$C$169*2</f>
        <v>1092772</v>
      </c>
      <c r="N16" s="89">
        <f>'MONTHLY STATS'!$C$183*2</f>
        <v>203214</v>
      </c>
      <c r="O16" s="90">
        <f>SUM(B16:N16)</f>
        <v>7290294</v>
      </c>
      <c r="P16" s="83"/>
    </row>
    <row r="17" spans="1:16" ht="15.75">
      <c r="A17" s="88">
        <f>DATE(2015,2,1)</f>
        <v>42036</v>
      </c>
      <c r="B17" s="89">
        <f>'MONTHLY STATS'!$C$16*2</f>
        <v>534304</v>
      </c>
      <c r="C17" s="89">
        <f>'MONTHLY STATS'!$C$30*2</f>
        <v>299084</v>
      </c>
      <c r="D17" s="89">
        <f>'MONTHLY STATS'!$C$44*2</f>
        <v>145506</v>
      </c>
      <c r="E17" s="89">
        <f>'MONTHLY STATS'!$C$58*2</f>
        <v>839894</v>
      </c>
      <c r="F17" s="89">
        <f>'MONTHLY STATS'!$C$72*2</f>
        <v>607644</v>
      </c>
      <c r="G17" s="89">
        <f>'MONTHLY STATS'!$C$86*2</f>
        <v>322828</v>
      </c>
      <c r="H17" s="89">
        <f>'MONTHLY STATS'!$C$100*2</f>
        <v>409840</v>
      </c>
      <c r="I17" s="89">
        <f>'MONTHLY STATS'!$C$114*2</f>
        <v>672664</v>
      </c>
      <c r="J17" s="89">
        <f>'MONTHLY STATS'!$C$128*2</f>
        <v>908154</v>
      </c>
      <c r="K17" s="89">
        <f>'MONTHLY STATS'!$C$142*2</f>
        <v>963376</v>
      </c>
      <c r="L17" s="89">
        <f>'MONTHLY STATS'!$C$156*2</f>
        <v>156084</v>
      </c>
      <c r="M17" s="89">
        <f>'MONTHLY STATS'!$C$170*2</f>
        <v>989350</v>
      </c>
      <c r="N17" s="89">
        <f>'MONTHLY STATS'!$C$184*2</f>
        <v>203916</v>
      </c>
      <c r="O17" s="90">
        <f>SUM(B17:N17)</f>
        <v>7052644</v>
      </c>
      <c r="P17" s="83"/>
    </row>
    <row r="18" spans="1:16" ht="15.75">
      <c r="A18" s="88">
        <f>DATE(2015,3,1)</f>
        <v>42064</v>
      </c>
      <c r="B18" s="89">
        <f>'MONTHLY STATS'!$C$17*2</f>
        <v>586636</v>
      </c>
      <c r="C18" s="89">
        <f>'MONTHLY STATS'!$C$31*2</f>
        <v>334014</v>
      </c>
      <c r="D18" s="89">
        <f>'MONTHLY STATS'!$C$45*2</f>
        <v>151094</v>
      </c>
      <c r="E18" s="89">
        <f>'MONTHLY STATS'!$C$59*2</f>
        <v>973256</v>
      </c>
      <c r="F18" s="89">
        <f>'MONTHLY STATS'!$C$73*2</f>
        <v>670328</v>
      </c>
      <c r="G18" s="89">
        <f>'MONTHLY STATS'!$C$87*2</f>
        <v>325826</v>
      </c>
      <c r="H18" s="89">
        <f>'MONTHLY STATS'!$C$101*2</f>
        <v>444738</v>
      </c>
      <c r="I18" s="89">
        <f>'MONTHLY STATS'!$C$115*2</f>
        <v>687904</v>
      </c>
      <c r="J18" s="89">
        <f>'MONTHLY STATS'!$C$129*2</f>
        <v>985230</v>
      </c>
      <c r="K18" s="89">
        <f>'MONTHLY STATS'!$C$143*2</f>
        <v>1081312</v>
      </c>
      <c r="L18" s="89">
        <f>'MONTHLY STATS'!$C$157*2</f>
        <v>184974</v>
      </c>
      <c r="M18" s="89">
        <f>'MONTHLY STATS'!$C$171*2</f>
        <v>1163526</v>
      </c>
      <c r="N18" s="89">
        <f>'MONTHLY STATS'!$C$185*2</f>
        <v>222478</v>
      </c>
      <c r="O18" s="90">
        <f>SUM(B18:N18)</f>
        <v>7811316</v>
      </c>
      <c r="P18" s="83"/>
    </row>
    <row r="19" spans="1:16" ht="15.75">
      <c r="A19" s="88">
        <f>DATE(2015,4,1)</f>
        <v>42095</v>
      </c>
      <c r="B19" s="89">
        <f>'MONTHLY STATS'!$C$18*2</f>
        <v>540504</v>
      </c>
      <c r="C19" s="89">
        <f>'MONTHLY STATS'!$C$32*2</f>
        <v>305050</v>
      </c>
      <c r="D19" s="89">
        <f>'MONTHLY STATS'!$C$46*2</f>
        <v>143382</v>
      </c>
      <c r="E19" s="89">
        <f>'MONTHLY STATS'!$C$60*2</f>
        <v>898076</v>
      </c>
      <c r="F19" s="89">
        <f>'MONTHLY STATS'!$C$74*2</f>
        <v>599406</v>
      </c>
      <c r="G19" s="89">
        <f>'MONTHLY STATS'!$C$88*2</f>
        <v>296384</v>
      </c>
      <c r="H19" s="89">
        <f>'MONTHLY STATS'!$C$102*2</f>
        <v>425488</v>
      </c>
      <c r="I19" s="89">
        <f>'MONTHLY STATS'!$C$116*2</f>
        <v>631144</v>
      </c>
      <c r="J19" s="89">
        <f>'MONTHLY STATS'!$C$130*2</f>
        <v>868146</v>
      </c>
      <c r="K19" s="89">
        <f>'MONTHLY STATS'!$C$144*2</f>
        <v>971208</v>
      </c>
      <c r="L19" s="89">
        <f>'MONTHLY STATS'!$C$158*2</f>
        <v>166988</v>
      </c>
      <c r="M19" s="89">
        <f>'MONTHLY STATS'!$C$172*2</f>
        <v>1021844</v>
      </c>
      <c r="N19" s="89">
        <f>'MONTHLY STATS'!$C$186*2</f>
        <v>204668</v>
      </c>
      <c r="O19" s="90">
        <f>SUM(B19:N19)</f>
        <v>7072288</v>
      </c>
      <c r="P19" s="83"/>
    </row>
    <row r="20" spans="1:16" ht="15.75">
      <c r="A20" s="88">
        <f>DATE(2015,5,1)</f>
        <v>42125</v>
      </c>
      <c r="B20" s="89">
        <f>'MONTHLY STATS'!$C$19*2</f>
        <v>589982</v>
      </c>
      <c r="C20" s="89">
        <f>'MONTHLY STATS'!$C$33*2</f>
        <v>349816</v>
      </c>
      <c r="D20" s="89">
        <f>'MONTHLY STATS'!$C$47*2</f>
        <v>164538</v>
      </c>
      <c r="E20" s="89">
        <f>'MONTHLY STATS'!$C$61*2</f>
        <v>954156</v>
      </c>
      <c r="F20" s="89">
        <f>'MONTHLY STATS'!$C$75*2</f>
        <v>664392</v>
      </c>
      <c r="G20" s="89">
        <f>'MONTHLY STATS'!$C$89*2</f>
        <v>319380</v>
      </c>
      <c r="H20" s="89">
        <f>'MONTHLY STATS'!$C$103*2</f>
        <v>455172</v>
      </c>
      <c r="I20" s="89">
        <f>'MONTHLY STATS'!$C$117*2</f>
        <v>663202</v>
      </c>
      <c r="J20" s="89">
        <f>'MONTHLY STATS'!$C$131*2</f>
        <v>962782</v>
      </c>
      <c r="K20" s="89">
        <f>'MONTHLY STATS'!$C$145*2</f>
        <v>1048958</v>
      </c>
      <c r="L20" s="89">
        <f>'MONTHLY STATS'!$C$159*2</f>
        <v>185244</v>
      </c>
      <c r="M20" s="89">
        <f>'MONTHLY STATS'!$C$173*2</f>
        <v>1089466</v>
      </c>
      <c r="N20" s="89">
        <f>'MONTHLY STATS'!$C$187*2</f>
        <v>227242</v>
      </c>
      <c r="O20" s="90">
        <f>SUM(B20:N20)</f>
        <v>7674330</v>
      </c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6028504</v>
      </c>
      <c r="C23" s="90">
        <f t="shared" si="1"/>
        <v>3579644</v>
      </c>
      <c r="D23" s="90">
        <f t="shared" si="1"/>
        <v>1603124</v>
      </c>
      <c r="E23" s="90">
        <f t="shared" si="1"/>
        <v>9487448</v>
      </c>
      <c r="F23" s="90">
        <f t="shared" si="1"/>
        <v>7042648</v>
      </c>
      <c r="G23" s="90">
        <f>SUM(G10:G21)</f>
        <v>3556984</v>
      </c>
      <c r="H23" s="90">
        <f t="shared" si="1"/>
        <v>4772102</v>
      </c>
      <c r="I23" s="90">
        <f>SUM(I10:I21)</f>
        <v>7454070</v>
      </c>
      <c r="J23" s="90">
        <f t="shared" si="1"/>
        <v>10134918</v>
      </c>
      <c r="K23" s="90">
        <f>SUM(K10:K21)</f>
        <v>11010890</v>
      </c>
      <c r="L23" s="90">
        <f t="shared" si="1"/>
        <v>1860058</v>
      </c>
      <c r="M23" s="90">
        <f t="shared" si="1"/>
        <v>11961742</v>
      </c>
      <c r="N23" s="90">
        <f t="shared" si="1"/>
        <v>2258434</v>
      </c>
      <c r="O23" s="90">
        <f t="shared" si="1"/>
        <v>80750566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8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9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DATE(2014,7,1)</f>
        <v>41821</v>
      </c>
      <c r="B31" s="89">
        <f>'MONTHLY STATS'!$K$9*0.21</f>
        <v>2339898.2901</v>
      </c>
      <c r="C31" s="89">
        <f>'MONTHLY STATS'!$K$23*0.21</f>
        <v>1455485.0856</v>
      </c>
      <c r="D31" s="89">
        <f>'MONTHLY STATS'!$K$37*0.21</f>
        <v>580363.6229999999</v>
      </c>
      <c r="E31" s="89">
        <f>'MONTHLY STATS'!$K$51*0.21</f>
        <v>3999967.2153</v>
      </c>
      <c r="F31" s="89">
        <f>'MONTHLY STATS'!$K$65*0.21</f>
        <v>3028190.3862</v>
      </c>
      <c r="G31" s="89">
        <f>'MONTHLY STATS'!$K$79*0.21</f>
        <v>1126760.5965</v>
      </c>
      <c r="H31" s="89">
        <f>'MONTHLY STATS'!$K$93*0.21</f>
        <v>1332258.9168</v>
      </c>
      <c r="I31" s="89">
        <f>'MONTHLY STATS'!$K$107*0.21</f>
        <v>2478255.3998999996</v>
      </c>
      <c r="J31" s="89">
        <f>'MONTHLY STATS'!$K$121*0.21</f>
        <v>3630317.4935999997</v>
      </c>
      <c r="K31" s="89">
        <f>'MONTHLY STATS'!$K$135*0.21</f>
        <v>3725248.0755</v>
      </c>
      <c r="L31" s="89">
        <f>'MONTHLY STATS'!$K$149*0.21</f>
        <v>637106.1354</v>
      </c>
      <c r="M31" s="89">
        <f>'MONTHLY STATS'!$K$163*0.21</f>
        <v>4748637.6504</v>
      </c>
      <c r="N31" s="89">
        <f>'MONTHLY STATS'!$K$177*0.21</f>
        <v>701488.4813999999</v>
      </c>
      <c r="O31" s="90">
        <f aca="true" t="shared" si="2" ref="O31:O36">SUM(B31:N31)</f>
        <v>29783977.349699996</v>
      </c>
      <c r="P31" s="83"/>
    </row>
    <row r="32" spans="1:16" ht="15.75">
      <c r="A32" s="88">
        <f>DATE(2014,8,1)</f>
        <v>41852</v>
      </c>
      <c r="B32" s="89">
        <f>'MONTHLY STATS'!$K$10*0.21</f>
        <v>2554663.1501999996</v>
      </c>
      <c r="C32" s="89">
        <f>'MONTHLY STATS'!$K$24*0.21</f>
        <v>1504522.1877</v>
      </c>
      <c r="D32" s="89">
        <f>'MONTHLY STATS'!$K$38*0.21</f>
        <v>629658.3237000001</v>
      </c>
      <c r="E32" s="89">
        <f>'MONTHLY STATS'!$K$52*0.21</f>
        <v>3782249.6838</v>
      </c>
      <c r="F32" s="89">
        <f>'MONTHLY STATS'!$K$66*0.21</f>
        <v>3097609.0760999997</v>
      </c>
      <c r="G32" s="89">
        <f>'MONTHLY STATS'!$K$80*0.21</f>
        <v>1208896.3488</v>
      </c>
      <c r="H32" s="89">
        <f>'MONTHLY STATS'!$K$94*0.21</f>
        <v>1348330.4666999998</v>
      </c>
      <c r="I32" s="89">
        <f>'MONTHLY STATS'!$K$108*0.21</f>
        <v>2702267.5701</v>
      </c>
      <c r="J32" s="89">
        <f>'MONTHLY STATS'!$K$122*0.21</f>
        <v>3679886.3261999995</v>
      </c>
      <c r="K32" s="89">
        <f>'MONTHLY STATS'!$K$136*0.21</f>
        <v>3976063.1966999997</v>
      </c>
      <c r="L32" s="89">
        <f>'MONTHLY STATS'!$K$150*0.21</f>
        <v>682583.3973</v>
      </c>
      <c r="M32" s="89">
        <f>'MONTHLY STATS'!$K$164*0.21</f>
        <v>4986832.2042</v>
      </c>
      <c r="N32" s="89">
        <f>'MONTHLY STATS'!$K$178*0.21</f>
        <v>723618.5166</v>
      </c>
      <c r="O32" s="90">
        <f t="shared" si="2"/>
        <v>30877180.4481</v>
      </c>
      <c r="P32" s="83"/>
    </row>
    <row r="33" spans="1:16" ht="15.75">
      <c r="A33" s="88">
        <f>DATE(2014,9,1)</f>
        <v>41883</v>
      </c>
      <c r="B33" s="89">
        <f>'MONTHLY STATS'!$K$11*0.21</f>
        <v>2231863.683</v>
      </c>
      <c r="C33" s="89">
        <f>'MONTHLY STATS'!$K$25*0.21</f>
        <v>1383553.8654</v>
      </c>
      <c r="D33" s="89">
        <f>'MONTHLY STATS'!$K$39*0.21</f>
        <v>545237.7588</v>
      </c>
      <c r="E33" s="89">
        <f>'MONTHLY STATS'!$K$53*0.21</f>
        <v>3461299.6676999996</v>
      </c>
      <c r="F33" s="89">
        <f>'MONTHLY STATS'!$K$67*0.21</f>
        <v>2989077.4767</v>
      </c>
      <c r="G33" s="89">
        <f>'MONTHLY STATS'!$K$81*0.21</f>
        <v>997599.4727999999</v>
      </c>
      <c r="H33" s="89">
        <f>'MONTHLY STATS'!$K$95*0.21</f>
        <v>1265094.5895</v>
      </c>
      <c r="I33" s="89">
        <f>'MONTHLY STATS'!$K$109*0.21</f>
        <v>2394953.2992</v>
      </c>
      <c r="J33" s="89">
        <f>'MONTHLY STATS'!$K$123*0.21</f>
        <v>3087329.5719</v>
      </c>
      <c r="K33" s="89">
        <f>'MONTHLY STATS'!$K$137*0.21</f>
        <v>3503857.2155999998</v>
      </c>
      <c r="L33" s="89">
        <f>'MONTHLY STATS'!$K$151*0.21</f>
        <v>573491.9064</v>
      </c>
      <c r="M33" s="89">
        <f>'MONTHLY STATS'!$K$165*0.21</f>
        <v>4238275.696199999</v>
      </c>
      <c r="N33" s="89">
        <f>'MONTHLY STATS'!$K$179*0.21</f>
        <v>646344.2747999999</v>
      </c>
      <c r="O33" s="90">
        <f t="shared" si="2"/>
        <v>27317978.477999996</v>
      </c>
      <c r="P33" s="83"/>
    </row>
    <row r="34" spans="1:16" ht="15.75">
      <c r="A34" s="88">
        <f>DATE(2014,10,1)</f>
        <v>41913</v>
      </c>
      <c r="B34" s="89">
        <f>'MONTHLY STATS'!$K$12*0.21</f>
        <v>2407284.6692999997</v>
      </c>
      <c r="C34" s="89">
        <f>'MONTHLY STATS'!$K$26*0.21</f>
        <v>1362983.6261999998</v>
      </c>
      <c r="D34" s="89">
        <f>'MONTHLY STATS'!$K$40*0.21</f>
        <v>541467.7254</v>
      </c>
      <c r="E34" s="89">
        <f>'MONTHLY STATS'!$K$54*0.21</f>
        <v>3802648.6491</v>
      </c>
      <c r="F34" s="89">
        <f>'MONTHLY STATS'!$K$68*0.21</f>
        <v>3085155.1269</v>
      </c>
      <c r="G34" s="89">
        <f>'MONTHLY STATS'!$K$82*0.21</f>
        <v>1080715.461</v>
      </c>
      <c r="H34" s="89">
        <f>'MONTHLY STATS'!$K$96*0.21</f>
        <v>1312077.984</v>
      </c>
      <c r="I34" s="89">
        <f>'MONTHLY STATS'!$K$110*0.21</f>
        <v>2449147.2852</v>
      </c>
      <c r="J34" s="89">
        <f>'MONTHLY STATS'!$K$124*0.21</f>
        <v>3323300.6813999997</v>
      </c>
      <c r="K34" s="89">
        <f>'MONTHLY STATS'!$K$138*0.21</f>
        <v>3589494.3671999997</v>
      </c>
      <c r="L34" s="89">
        <f>'MONTHLY STATS'!$K$152*0.21</f>
        <v>626395.791</v>
      </c>
      <c r="M34" s="89">
        <f>'MONTHLY STATS'!$K$166*0.21</f>
        <v>4465313.9517</v>
      </c>
      <c r="N34" s="89">
        <f>'MONTHLY STATS'!$K$180*0.21</f>
        <v>652569.1787999999</v>
      </c>
      <c r="O34" s="90">
        <f t="shared" si="2"/>
        <v>28698554.497199997</v>
      </c>
      <c r="P34" s="83"/>
    </row>
    <row r="35" spans="1:16" ht="15.75">
      <c r="A35" s="88">
        <f>DATE(2014,11,1)</f>
        <v>41944</v>
      </c>
      <c r="B35" s="89">
        <f>'MONTHLY STATS'!$K$13*0.21</f>
        <v>2416201.3323</v>
      </c>
      <c r="C35" s="89">
        <f>'MONTHLY STATS'!$K$27*0.21</f>
        <v>1309178.3145</v>
      </c>
      <c r="D35" s="89">
        <f>'MONTHLY STATS'!$K$41*0.21</f>
        <v>578323.2441</v>
      </c>
      <c r="E35" s="89">
        <f>'MONTHLY STATS'!$K$55*0.21</f>
        <v>3611826.603</v>
      </c>
      <c r="F35" s="89">
        <f>'MONTHLY STATS'!$K$69*0.21</f>
        <v>3023950.0451999996</v>
      </c>
      <c r="G35" s="89">
        <f>'MONTHLY STATS'!$K$83*0.21</f>
        <v>1047090.6452999999</v>
      </c>
      <c r="H35" s="89">
        <f>'MONTHLY STATS'!$K$97*0.21</f>
        <v>1290368.9441999998</v>
      </c>
      <c r="I35" s="89">
        <f>'MONTHLY STATS'!$K$111*0.21</f>
        <v>2244656.3307</v>
      </c>
      <c r="J35" s="89">
        <f>'MONTHLY STATS'!$K$125*0.21</f>
        <v>3080723.772</v>
      </c>
      <c r="K35" s="89">
        <f>'MONTHLY STATS'!$K$139*0.21</f>
        <v>3637834.6178999995</v>
      </c>
      <c r="L35" s="89">
        <f>'MONTHLY STATS'!$K$153*0.21</f>
        <v>589078.9611</v>
      </c>
      <c r="M35" s="89">
        <f>'MONTHLY STATS'!$K$167*0.21</f>
        <v>4483254.7599</v>
      </c>
      <c r="N35" s="89">
        <f>'MONTHLY STATS'!$K$181*0.21</f>
        <v>634654.6899</v>
      </c>
      <c r="O35" s="90">
        <f t="shared" si="2"/>
        <v>27947142.260099996</v>
      </c>
      <c r="P35" s="83"/>
    </row>
    <row r="36" spans="1:16" ht="15.75">
      <c r="A36" s="88">
        <f>DATE(2014,12,1)</f>
        <v>41974</v>
      </c>
      <c r="B36" s="89">
        <f>'MONTHLY STATS'!$K$14*0.21</f>
        <v>2482231.8444</v>
      </c>
      <c r="C36" s="89">
        <f>'MONTHLY STATS'!$K$28*0.21</f>
        <v>1341448.5441</v>
      </c>
      <c r="D36" s="89">
        <f>'MONTHLY STATS'!$K$42*0.21</f>
        <v>584109.0506999999</v>
      </c>
      <c r="E36" s="89">
        <f>'MONTHLY STATS'!$K$56*0.21</f>
        <v>3727373.3216999997</v>
      </c>
      <c r="F36" s="89">
        <f>'MONTHLY STATS'!$K$70*0.21</f>
        <v>3048807.1152</v>
      </c>
      <c r="G36" s="89">
        <f>'MONTHLY STATS'!$K$84*0.21</f>
        <v>1078685.097</v>
      </c>
      <c r="H36" s="89">
        <f>'MONTHLY STATS'!$K$98*0.21</f>
        <v>1367622.0663</v>
      </c>
      <c r="I36" s="89">
        <f>'MONTHLY STATS'!$K$112*0.21</f>
        <v>2142773.346</v>
      </c>
      <c r="J36" s="89">
        <f>'MONTHLY STATS'!$K$126*0.21</f>
        <v>3281583.0705</v>
      </c>
      <c r="K36" s="89">
        <f>'MONTHLY STATS'!$K$140*0.21</f>
        <v>3728860.2372</v>
      </c>
      <c r="L36" s="89">
        <f>'MONTHLY STATS'!$K$154*0.21</f>
        <v>632370.1734</v>
      </c>
      <c r="M36" s="89">
        <f>'MONTHLY STATS'!$K$168*0.21</f>
        <v>4717869.3849</v>
      </c>
      <c r="N36" s="89">
        <f>'MONTHLY STATS'!$K$182*0.21</f>
        <v>643502.1768</v>
      </c>
      <c r="O36" s="90">
        <f t="shared" si="2"/>
        <v>28777235.428200003</v>
      </c>
      <c r="P36" s="83"/>
    </row>
    <row r="37" spans="1:16" ht="15.75">
      <c r="A37" s="88">
        <f>DATE(2015,1,1)</f>
        <v>42005</v>
      </c>
      <c r="B37" s="89">
        <f>'MONTHLY STATS'!$K$15*0.21</f>
        <v>2483014.5333</v>
      </c>
      <c r="C37" s="89">
        <f>'MONTHLY STATS'!$K$29*0.21</f>
        <v>1465389.0740999999</v>
      </c>
      <c r="D37" s="89">
        <f>'MONTHLY STATS'!$K$43*0.21</f>
        <v>590131.1429999999</v>
      </c>
      <c r="E37" s="89">
        <f>'MONTHLY STATS'!$K$57*0.21</f>
        <v>3759066.4502999997</v>
      </c>
      <c r="F37" s="89">
        <f>'MONTHLY STATS'!$K$71*0.21</f>
        <v>2958247.4417999997</v>
      </c>
      <c r="G37" s="89">
        <f>'MONTHLY STATS'!$K$85*0.21</f>
        <v>1121582.7315</v>
      </c>
      <c r="H37" s="89">
        <f>'MONTHLY STATS'!$K$99*0.21</f>
        <v>1317885.6789</v>
      </c>
      <c r="I37" s="89">
        <f>'MONTHLY STATS'!$K$113*0.21</f>
        <v>2215490.1006</v>
      </c>
      <c r="J37" s="89">
        <f>'MONTHLY STATS'!$K$127*0.21</f>
        <v>3437994.5691</v>
      </c>
      <c r="K37" s="89">
        <f>'MONTHLY STATS'!$K$141*0.21</f>
        <v>3735412.9217999997</v>
      </c>
      <c r="L37" s="89">
        <f>'MONTHLY STATS'!$K$155*0.21</f>
        <v>577511.5983</v>
      </c>
      <c r="M37" s="89">
        <f>'MONTHLY STATS'!$K$169*0.21</f>
        <v>4646380.3029</v>
      </c>
      <c r="N37" s="89">
        <f>'MONTHLY STATS'!$K$183*0.21</f>
        <v>702496.3386</v>
      </c>
      <c r="O37" s="90">
        <f>SUM(B37:N37)</f>
        <v>29010602.884199996</v>
      </c>
      <c r="P37" s="83"/>
    </row>
    <row r="38" spans="1:16" ht="15.75">
      <c r="A38" s="88">
        <f>DATE(2015,2,1)</f>
        <v>42036</v>
      </c>
      <c r="B38" s="89">
        <f>'MONTHLY STATS'!$K$16*0.21</f>
        <v>2393225.1336</v>
      </c>
      <c r="C38" s="89">
        <f>'MONTHLY STATS'!$K$30*0.21</f>
        <v>1354500.5082</v>
      </c>
      <c r="D38" s="89">
        <f>'MONTHLY STATS'!$K$44*0.21</f>
        <v>607863.8475</v>
      </c>
      <c r="E38" s="89">
        <f>'MONTHLY STATS'!$K$58*0.21</f>
        <v>3762224.6864999994</v>
      </c>
      <c r="F38" s="89">
        <f>'MONTHLY STATS'!$K$72*0.21</f>
        <v>2912142.3912</v>
      </c>
      <c r="G38" s="89">
        <f>'MONTHLY STATS'!$K$86*0.21</f>
        <v>1122678.396</v>
      </c>
      <c r="H38" s="89">
        <f>'MONTHLY STATS'!$K$100*0.21</f>
        <v>1431951.4671</v>
      </c>
      <c r="I38" s="89">
        <f>'MONTHLY STATS'!$K$114*0.21</f>
        <v>2399378.7573</v>
      </c>
      <c r="J38" s="89">
        <f>'MONTHLY STATS'!$K$128*0.21</f>
        <v>3335073.5270999996</v>
      </c>
      <c r="K38" s="89">
        <f>'MONTHLY STATS'!$K$142*0.21</f>
        <v>3586401.3674999997</v>
      </c>
      <c r="L38" s="89">
        <f>'MONTHLY STATS'!$K$156*0.21</f>
        <v>605249.5070999999</v>
      </c>
      <c r="M38" s="89">
        <f>'MONTHLY STATS'!$K$170*0.21</f>
        <v>4465583.9949</v>
      </c>
      <c r="N38" s="89">
        <f>'MONTHLY STATS'!$K$184*0.21</f>
        <v>706273.0373999999</v>
      </c>
      <c r="O38" s="90">
        <f>SUM(B38:N38)</f>
        <v>28682546.6214</v>
      </c>
      <c r="P38" s="83"/>
    </row>
    <row r="39" spans="1:16" ht="15.75">
      <c r="A39" s="88">
        <f>DATE(2015,3,1)</f>
        <v>42064</v>
      </c>
      <c r="B39" s="89">
        <f>'MONTHLY STATS'!$K$17*0.21</f>
        <v>2725615.5612</v>
      </c>
      <c r="C39" s="89">
        <f>'MONTHLY STATS'!$K$31*0.21</f>
        <v>1549869.8354999998</v>
      </c>
      <c r="D39" s="89">
        <f>'MONTHLY STATS'!$K$45*0.21</f>
        <v>621291.9867</v>
      </c>
      <c r="E39" s="89">
        <f>'MONTHLY STATS'!$K$59*0.21</f>
        <v>4261417.2489</v>
      </c>
      <c r="F39" s="89">
        <f>'MONTHLY STATS'!$K$73*0.21</f>
        <v>3322597.047</v>
      </c>
      <c r="G39" s="89">
        <f>'MONTHLY STATS'!$K$87*0.21</f>
        <v>1211487.0977999999</v>
      </c>
      <c r="H39" s="89">
        <f>'MONTHLY STATS'!$K$101*0.21</f>
        <v>1533091.5684</v>
      </c>
      <c r="I39" s="89">
        <f>'MONTHLY STATS'!$K$115*0.21</f>
        <v>2576049.3905999996</v>
      </c>
      <c r="J39" s="89">
        <f>'MONTHLY STATS'!$K$129*0.21</f>
        <v>3774244.5614999994</v>
      </c>
      <c r="K39" s="89">
        <f>'MONTHLY STATS'!$K$143*0.21</f>
        <v>4090575.6276</v>
      </c>
      <c r="L39" s="89">
        <f>'MONTHLY STATS'!$K$157*0.21</f>
        <v>714415.7621999999</v>
      </c>
      <c r="M39" s="89">
        <f>'MONTHLY STATS'!$K$171*0.21</f>
        <v>5087426.981699999</v>
      </c>
      <c r="N39" s="89">
        <f>'MONTHLY STATS'!$K$185*0.21</f>
        <v>788641.2786</v>
      </c>
      <c r="O39" s="90">
        <f>SUM(B39:N39)</f>
        <v>32256723.947699998</v>
      </c>
      <c r="P39" s="83"/>
    </row>
    <row r="40" spans="1:16" ht="15.75">
      <c r="A40" s="88">
        <f>DATE(2015,4,1)</f>
        <v>42095</v>
      </c>
      <c r="B40" s="89">
        <f>'MONTHLY STATS'!$K$18*0.21</f>
        <v>2596099.5206999998</v>
      </c>
      <c r="C40" s="89">
        <f>'MONTHLY STATS'!$K$32*0.21</f>
        <v>1382350.3113</v>
      </c>
      <c r="D40" s="89">
        <f>'MONTHLY STATS'!$K$46*0.21</f>
        <v>619988.3613</v>
      </c>
      <c r="E40" s="89">
        <f>'MONTHLY STATS'!$K$60*0.21</f>
        <v>3832739.8661999996</v>
      </c>
      <c r="F40" s="89">
        <f>'MONTHLY STATS'!$K$74*0.21</f>
        <v>3004116.4755</v>
      </c>
      <c r="G40" s="89">
        <f>'MONTHLY STATS'!$K$88*0.21</f>
        <v>1067001.9234</v>
      </c>
      <c r="H40" s="89">
        <f>'MONTHLY STATS'!$K$102*0.21</f>
        <v>1374431.9904</v>
      </c>
      <c r="I40" s="89">
        <f>'MONTHLY STATS'!$K$116*0.21</f>
        <v>2256885.7059</v>
      </c>
      <c r="J40" s="89">
        <f>'MONTHLY STATS'!$K$130*0.21</f>
        <v>3546213.5058</v>
      </c>
      <c r="K40" s="89">
        <f>'MONTHLY STATS'!$K$144*0.21</f>
        <v>4018037.8035000004</v>
      </c>
      <c r="L40" s="89">
        <f>'MONTHLY STATS'!$K$158*0.21</f>
        <v>653068.6932</v>
      </c>
      <c r="M40" s="89">
        <f>'MONTHLY STATS'!$K$172*0.21</f>
        <v>4717498.4262</v>
      </c>
      <c r="N40" s="89">
        <f>'MONTHLY STATS'!$K$186*0.21</f>
        <v>758725.4451</v>
      </c>
      <c r="O40" s="90">
        <f>SUM(B40:N40)</f>
        <v>29827158.0285</v>
      </c>
      <c r="P40" s="83"/>
    </row>
    <row r="41" spans="1:16" ht="15.75">
      <c r="A41" s="88">
        <f>DATE(2015,5,1)</f>
        <v>42125</v>
      </c>
      <c r="B41" s="89">
        <f>'MONTHLY STATS'!$K$19*0.21</f>
        <v>2793421.2137999996</v>
      </c>
      <c r="C41" s="89">
        <f>'MONTHLY STATS'!$K$33*0.21</f>
        <v>1638044.8539</v>
      </c>
      <c r="D41" s="89">
        <f>'MONTHLY STATS'!$K$47*0.21</f>
        <v>682708.6098</v>
      </c>
      <c r="E41" s="89">
        <f>'MONTHLY STATS'!$K$61*0.21</f>
        <v>4133154.0788999996</v>
      </c>
      <c r="F41" s="89">
        <f>'MONTHLY STATS'!$K$75*0.21</f>
        <v>3326454.4655999998</v>
      </c>
      <c r="G41" s="89">
        <f>'MONTHLY STATS'!$K$89*0.21</f>
        <v>1139732.1138</v>
      </c>
      <c r="H41" s="89">
        <f>'MONTHLY STATS'!$K$103*0.21</f>
        <v>1439142.7533</v>
      </c>
      <c r="I41" s="89">
        <f>'MONTHLY STATS'!$K$117*0.21</f>
        <v>2501618.1729</v>
      </c>
      <c r="J41" s="89">
        <f>'MONTHLY STATS'!$K$131*0.21</f>
        <v>3812451.0816</v>
      </c>
      <c r="K41" s="89">
        <f>'MONTHLY STATS'!$K$145*0.21</f>
        <v>4142403.9216</v>
      </c>
      <c r="L41" s="89">
        <f>'MONTHLY STATS'!$K$159*0.21</f>
        <v>695779.0119</v>
      </c>
      <c r="M41" s="89">
        <f>'MONTHLY STATS'!$K$173*0.21</f>
        <v>4928731.651199999</v>
      </c>
      <c r="N41" s="89">
        <f>'MONTHLY STATS'!$K$187*0.21</f>
        <v>770937.237</v>
      </c>
      <c r="O41" s="90">
        <f>SUM(B41:N41)</f>
        <v>32004579.165299997</v>
      </c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27423518.9319</v>
      </c>
      <c r="C44" s="90">
        <f t="shared" si="3"/>
        <v>15747326.206500001</v>
      </c>
      <c r="D44" s="90">
        <f t="shared" si="3"/>
        <v>6581143.674</v>
      </c>
      <c r="E44" s="90">
        <f t="shared" si="3"/>
        <v>42133967.4714</v>
      </c>
      <c r="F44" s="90">
        <f t="shared" si="3"/>
        <v>33796347.0474</v>
      </c>
      <c r="G44" s="90">
        <f t="shared" si="3"/>
        <v>12202229.8839</v>
      </c>
      <c r="H44" s="90">
        <f t="shared" si="3"/>
        <v>15012256.425599998</v>
      </c>
      <c r="I44" s="90">
        <f>SUM(I31:I42)</f>
        <v>26361475.3584</v>
      </c>
      <c r="J44" s="90">
        <f t="shared" si="3"/>
        <v>37989118.1607</v>
      </c>
      <c r="K44" s="90">
        <f>SUM(K31:K42)</f>
        <v>41734189.3521</v>
      </c>
      <c r="L44" s="90">
        <f t="shared" si="3"/>
        <v>6987050.937299999</v>
      </c>
      <c r="M44" s="90">
        <f t="shared" si="3"/>
        <v>51485805.0042</v>
      </c>
      <c r="N44" s="90">
        <f t="shared" si="3"/>
        <v>7729250.654999999</v>
      </c>
      <c r="O44" s="90">
        <f t="shared" si="3"/>
        <v>325183679.1084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.75">
      <c r="A47" s="256" t="s">
        <v>65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</row>
    <row r="48" spans="1:9" ht="15.75">
      <c r="A48" s="115" t="s">
        <v>31</v>
      </c>
      <c r="B48" s="98"/>
      <c r="C48" s="98"/>
      <c r="D48" s="98"/>
      <c r="E48" s="98"/>
      <c r="F48" s="98"/>
      <c r="G48" s="98"/>
      <c r="H48" s="98"/>
      <c r="I48" s="98"/>
    </row>
    <row r="49" spans="1:9" ht="15.75">
      <c r="A49" s="115"/>
      <c r="B49" s="98"/>
      <c r="C49" s="98"/>
      <c r="D49" s="98"/>
      <c r="E49" s="98"/>
      <c r="F49" s="98"/>
      <c r="G49" s="98"/>
      <c r="H49" s="98"/>
      <c r="I49" s="98"/>
    </row>
    <row r="50" ht="15.7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7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6" t="s">
        <v>74</v>
      </c>
      <c r="B3" s="117"/>
      <c r="C3" s="200"/>
      <c r="D3" s="200"/>
      <c r="E3" s="200"/>
      <c r="F3" s="117"/>
      <c r="G3" s="210"/>
    </row>
    <row r="4" spans="1:7" ht="15">
      <c r="A4" s="287" t="s">
        <v>75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4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DATE(2014,7,1)</f>
        <v>41821</v>
      </c>
      <c r="C9" s="204">
        <v>4810629</v>
      </c>
      <c r="D9" s="204">
        <v>885313</v>
      </c>
      <c r="E9" s="204">
        <v>979631</v>
      </c>
      <c r="F9" s="132">
        <f aca="true" t="shared" si="0" ref="F9:F19">(+D9-E9)/E9</f>
        <v>-0.09627910917478112</v>
      </c>
      <c r="G9" s="215">
        <f aca="true" t="shared" si="1" ref="G9:G19">D9/C9</f>
        <v>0.1840326909433257</v>
      </c>
      <c r="H9" s="123"/>
    </row>
    <row r="10" spans="1:8" ht="15.75">
      <c r="A10" s="130"/>
      <c r="B10" s="131">
        <f>DATE(2014,8,1)</f>
        <v>41852</v>
      </c>
      <c r="C10" s="204">
        <v>5288746</v>
      </c>
      <c r="D10" s="204">
        <v>1087040.34</v>
      </c>
      <c r="E10" s="204">
        <v>1015141.56</v>
      </c>
      <c r="F10" s="132">
        <f t="shared" si="0"/>
        <v>0.07082635844403812</v>
      </c>
      <c r="G10" s="215">
        <f t="shared" si="1"/>
        <v>0.20553839038592514</v>
      </c>
      <c r="H10" s="123"/>
    </row>
    <row r="11" spans="1:8" ht="15.75">
      <c r="A11" s="130"/>
      <c r="B11" s="131">
        <f>DATE(2014,9,1)</f>
        <v>41883</v>
      </c>
      <c r="C11" s="204">
        <v>4605638</v>
      </c>
      <c r="D11" s="204">
        <v>1089948.23</v>
      </c>
      <c r="E11" s="204">
        <v>1019087.22</v>
      </c>
      <c r="F11" s="132">
        <f t="shared" si="0"/>
        <v>0.06953380300461427</v>
      </c>
      <c r="G11" s="215">
        <f t="shared" si="1"/>
        <v>0.23665521041818743</v>
      </c>
      <c r="H11" s="123"/>
    </row>
    <row r="12" spans="1:8" ht="15.75">
      <c r="A12" s="130"/>
      <c r="B12" s="131">
        <f>DATE(2014,10,1)</f>
        <v>41913</v>
      </c>
      <c r="C12" s="204">
        <v>5083098</v>
      </c>
      <c r="D12" s="204">
        <v>1026326.55</v>
      </c>
      <c r="E12" s="204">
        <v>928648.96</v>
      </c>
      <c r="F12" s="132">
        <f t="shared" si="0"/>
        <v>0.10518246851856711</v>
      </c>
      <c r="G12" s="215">
        <f t="shared" si="1"/>
        <v>0.20190965234193795</v>
      </c>
      <c r="H12" s="123"/>
    </row>
    <row r="13" spans="1:8" ht="15.75">
      <c r="A13" s="130"/>
      <c r="B13" s="131">
        <f>DATE(2014,11,1)</f>
        <v>41944</v>
      </c>
      <c r="C13" s="204">
        <v>4998298</v>
      </c>
      <c r="D13" s="204">
        <v>833113.97</v>
      </c>
      <c r="E13" s="204">
        <v>1032691.58</v>
      </c>
      <c r="F13" s="132">
        <f t="shared" si="0"/>
        <v>-0.19325964679599691</v>
      </c>
      <c r="G13" s="215">
        <f t="shared" si="1"/>
        <v>0.16667953171259497</v>
      </c>
      <c r="H13" s="123"/>
    </row>
    <row r="14" spans="1:8" ht="15.75">
      <c r="A14" s="130"/>
      <c r="B14" s="131">
        <f>DATE(2014,12,1)</f>
        <v>41974</v>
      </c>
      <c r="C14" s="204">
        <v>5408099</v>
      </c>
      <c r="D14" s="204">
        <v>957272.26</v>
      </c>
      <c r="E14" s="204">
        <v>1020563.81</v>
      </c>
      <c r="F14" s="132">
        <f t="shared" si="0"/>
        <v>-0.06201625942428827</v>
      </c>
      <c r="G14" s="215">
        <f t="shared" si="1"/>
        <v>0.17700716277568143</v>
      </c>
      <c r="H14" s="123"/>
    </row>
    <row r="15" spans="1:8" ht="15.75">
      <c r="A15" s="130"/>
      <c r="B15" s="131">
        <f>DATE(2015,1,1)</f>
        <v>42005</v>
      </c>
      <c r="C15" s="204">
        <v>5508707</v>
      </c>
      <c r="D15" s="204">
        <v>1155524.87</v>
      </c>
      <c r="E15" s="204">
        <v>1080155</v>
      </c>
      <c r="F15" s="132">
        <f t="shared" si="0"/>
        <v>0.06977690238900909</v>
      </c>
      <c r="G15" s="215">
        <f t="shared" si="1"/>
        <v>0.20976335644644017</v>
      </c>
      <c r="H15" s="123"/>
    </row>
    <row r="16" spans="1:8" ht="15.75">
      <c r="A16" s="130"/>
      <c r="B16" s="131">
        <f>DATE(2015,2,1)</f>
        <v>42036</v>
      </c>
      <c r="C16" s="204">
        <v>5338401</v>
      </c>
      <c r="D16" s="204">
        <v>888881.85</v>
      </c>
      <c r="E16" s="204">
        <v>1054605.16</v>
      </c>
      <c r="F16" s="132">
        <f t="shared" si="0"/>
        <v>-0.15714251767931797</v>
      </c>
      <c r="G16" s="215">
        <f t="shared" si="1"/>
        <v>0.16650713387772856</v>
      </c>
      <c r="H16" s="123"/>
    </row>
    <row r="17" spans="1:8" ht="15.75">
      <c r="A17" s="130"/>
      <c r="B17" s="131">
        <f>DATE(2015,3,1)</f>
        <v>42064</v>
      </c>
      <c r="C17" s="204">
        <v>6126266</v>
      </c>
      <c r="D17" s="204">
        <v>1254229.5</v>
      </c>
      <c r="E17" s="204">
        <v>1227956.8</v>
      </c>
      <c r="F17" s="132">
        <f t="shared" si="0"/>
        <v>0.02139545951453663</v>
      </c>
      <c r="G17" s="215">
        <f t="shared" si="1"/>
        <v>0.20472984685940832</v>
      </c>
      <c r="H17" s="123"/>
    </row>
    <row r="18" spans="1:8" ht="15.75">
      <c r="A18" s="130"/>
      <c r="B18" s="131">
        <f>DATE(2015,4,1)</f>
        <v>42095</v>
      </c>
      <c r="C18" s="204">
        <v>5377426</v>
      </c>
      <c r="D18" s="204">
        <v>946774.02</v>
      </c>
      <c r="E18" s="204">
        <v>1205523.32</v>
      </c>
      <c r="F18" s="132">
        <f t="shared" si="0"/>
        <v>-0.2146364949622045</v>
      </c>
      <c r="G18" s="215">
        <f t="shared" si="1"/>
        <v>0.17606453719679266</v>
      </c>
      <c r="H18" s="123"/>
    </row>
    <row r="19" spans="1:8" ht="15.75">
      <c r="A19" s="130"/>
      <c r="B19" s="131">
        <f>DATE(2015,5,1)</f>
        <v>42125</v>
      </c>
      <c r="C19" s="204">
        <v>5727457</v>
      </c>
      <c r="D19" s="204">
        <v>1275153.62</v>
      </c>
      <c r="E19" s="204">
        <v>1056968</v>
      </c>
      <c r="F19" s="132">
        <f t="shared" si="0"/>
        <v>0.20642594667009798</v>
      </c>
      <c r="G19" s="215">
        <f t="shared" si="1"/>
        <v>0.22263870684668607</v>
      </c>
      <c r="H19" s="123"/>
    </row>
    <row r="20" spans="1:8" ht="15.75" thickBot="1">
      <c r="A20" s="133"/>
      <c r="B20" s="134"/>
      <c r="C20" s="204"/>
      <c r="D20" s="204"/>
      <c r="E20" s="204"/>
      <c r="F20" s="132"/>
      <c r="G20" s="215"/>
      <c r="H20" s="123"/>
    </row>
    <row r="21" spans="1:8" ht="17.25" thickBot="1" thickTop="1">
      <c r="A21" s="135" t="s">
        <v>14</v>
      </c>
      <c r="B21" s="136"/>
      <c r="C21" s="201">
        <f>SUM(C9:C20)</f>
        <v>58272765</v>
      </c>
      <c r="D21" s="201">
        <f>SUM(D9:D20)</f>
        <v>11399578.21</v>
      </c>
      <c r="E21" s="201">
        <f>SUM(E9:E20)</f>
        <v>11620972.410000002</v>
      </c>
      <c r="F21" s="137">
        <f>(+D21-E21)/E21</f>
        <v>-0.01905126285382869</v>
      </c>
      <c r="G21" s="212">
        <f>D21/C21</f>
        <v>0.19562446041474094</v>
      </c>
      <c r="H21" s="123"/>
    </row>
    <row r="22" spans="1:8" ht="15.75" customHeight="1" thickTop="1">
      <c r="A22" s="138"/>
      <c r="B22" s="139"/>
      <c r="C22" s="205"/>
      <c r="D22" s="205"/>
      <c r="E22" s="205"/>
      <c r="F22" s="140"/>
      <c r="G22" s="216"/>
      <c r="H22" s="123"/>
    </row>
    <row r="23" spans="1:8" ht="15.75">
      <c r="A23" s="19" t="s">
        <v>15</v>
      </c>
      <c r="B23" s="131">
        <f>DATE(2014,7,1)</f>
        <v>41821</v>
      </c>
      <c r="C23" s="204">
        <v>2738644.25</v>
      </c>
      <c r="D23" s="204">
        <v>648014.25</v>
      </c>
      <c r="E23" s="204">
        <v>473986</v>
      </c>
      <c r="F23" s="132">
        <f aca="true" t="shared" si="2" ref="F23:F33">(+D23-E23)/E23</f>
        <v>0.3671590511112143</v>
      </c>
      <c r="G23" s="215">
        <f aca="true" t="shared" si="3" ref="G23:G33">D23/C23</f>
        <v>0.23661862982021123</v>
      </c>
      <c r="H23" s="123"/>
    </row>
    <row r="24" spans="1:8" ht="15.75">
      <c r="A24" s="19"/>
      <c r="B24" s="131">
        <f>DATE(2014,8,1)</f>
        <v>41852</v>
      </c>
      <c r="C24" s="204">
        <v>2649879</v>
      </c>
      <c r="D24" s="204">
        <v>536234.5</v>
      </c>
      <c r="E24" s="204">
        <v>630118</v>
      </c>
      <c r="F24" s="132">
        <f t="shared" si="2"/>
        <v>-0.14899352184828873</v>
      </c>
      <c r="G24" s="215">
        <f t="shared" si="3"/>
        <v>0.202361881429303</v>
      </c>
      <c r="H24" s="123"/>
    </row>
    <row r="25" spans="1:8" ht="15.75">
      <c r="A25" s="19"/>
      <c r="B25" s="131">
        <f>DATE(2014,9,1)</f>
        <v>41883</v>
      </c>
      <c r="C25" s="204">
        <v>2428620.01</v>
      </c>
      <c r="D25" s="204">
        <v>586348.01</v>
      </c>
      <c r="E25" s="204">
        <v>539966</v>
      </c>
      <c r="F25" s="132">
        <f t="shared" si="2"/>
        <v>0.08589801950493181</v>
      </c>
      <c r="G25" s="215">
        <f t="shared" si="3"/>
        <v>0.24143258623649405</v>
      </c>
      <c r="H25" s="123"/>
    </row>
    <row r="26" spans="1:8" ht="15.75">
      <c r="A26" s="19"/>
      <c r="B26" s="131">
        <f>DATE(2014,10,1)</f>
        <v>41913</v>
      </c>
      <c r="C26" s="204">
        <v>2483861</v>
      </c>
      <c r="D26" s="204">
        <v>579096</v>
      </c>
      <c r="E26" s="204">
        <v>476110.5</v>
      </c>
      <c r="F26" s="132">
        <f t="shared" si="2"/>
        <v>0.2163058785723062</v>
      </c>
      <c r="G26" s="215">
        <f t="shared" si="3"/>
        <v>0.23314348105630708</v>
      </c>
      <c r="H26" s="123"/>
    </row>
    <row r="27" spans="1:8" ht="15.75">
      <c r="A27" s="19"/>
      <c r="B27" s="131">
        <f>DATE(2014,11,1)</f>
        <v>41944</v>
      </c>
      <c r="C27" s="204">
        <v>2476136</v>
      </c>
      <c r="D27" s="204">
        <v>520588</v>
      </c>
      <c r="E27" s="204">
        <v>469818.5</v>
      </c>
      <c r="F27" s="132">
        <f t="shared" si="2"/>
        <v>0.1080619430695045</v>
      </c>
      <c r="G27" s="215">
        <f t="shared" si="3"/>
        <v>0.21024208686437257</v>
      </c>
      <c r="H27" s="123"/>
    </row>
    <row r="28" spans="1:8" ht="15.75">
      <c r="A28" s="19"/>
      <c r="B28" s="131">
        <f>DATE(2014,12,1)</f>
        <v>41974</v>
      </c>
      <c r="C28" s="204">
        <v>2545777</v>
      </c>
      <c r="D28" s="204">
        <v>544994.5</v>
      </c>
      <c r="E28" s="204">
        <v>499071</v>
      </c>
      <c r="F28" s="132">
        <f t="shared" si="2"/>
        <v>0.09201796938712127</v>
      </c>
      <c r="G28" s="215">
        <f t="shared" si="3"/>
        <v>0.21407786306498958</v>
      </c>
      <c r="H28" s="123"/>
    </row>
    <row r="29" spans="1:8" ht="15.75">
      <c r="A29" s="19"/>
      <c r="B29" s="131">
        <f>DATE(2015,1,1)</f>
        <v>42005</v>
      </c>
      <c r="C29" s="204">
        <v>2824947</v>
      </c>
      <c r="D29" s="204">
        <v>499607</v>
      </c>
      <c r="E29" s="204">
        <v>468114.5</v>
      </c>
      <c r="F29" s="132">
        <f t="shared" si="2"/>
        <v>0.06727520724096349</v>
      </c>
      <c r="G29" s="215">
        <f t="shared" si="3"/>
        <v>0.17685535339247072</v>
      </c>
      <c r="H29" s="123"/>
    </row>
    <row r="30" spans="1:8" ht="15.75">
      <c r="A30" s="19"/>
      <c r="B30" s="131">
        <f>DATE(2015,2,1)</f>
        <v>42036</v>
      </c>
      <c r="C30" s="204">
        <v>2583377</v>
      </c>
      <c r="D30" s="204">
        <v>475515</v>
      </c>
      <c r="E30" s="204">
        <v>638184</v>
      </c>
      <c r="F30" s="132">
        <f t="shared" si="2"/>
        <v>-0.2548935730134256</v>
      </c>
      <c r="G30" s="215">
        <f t="shared" si="3"/>
        <v>0.18406721125100983</v>
      </c>
      <c r="H30" s="123"/>
    </row>
    <row r="31" spans="1:8" ht="15.75">
      <c r="A31" s="19"/>
      <c r="B31" s="131">
        <f>DATE(2015,3,1)</f>
        <v>42064</v>
      </c>
      <c r="C31" s="204">
        <v>2892731</v>
      </c>
      <c r="D31" s="204">
        <v>703830.5</v>
      </c>
      <c r="E31" s="204">
        <v>440676</v>
      </c>
      <c r="F31" s="132">
        <f t="shared" si="2"/>
        <v>0.5971609527180968</v>
      </c>
      <c r="G31" s="215">
        <f t="shared" si="3"/>
        <v>0.24331004161811104</v>
      </c>
      <c r="H31" s="123"/>
    </row>
    <row r="32" spans="1:8" ht="15.75">
      <c r="A32" s="19"/>
      <c r="B32" s="131">
        <f>DATE(2015,4,1)</f>
        <v>42095</v>
      </c>
      <c r="C32" s="204">
        <v>2501807</v>
      </c>
      <c r="D32" s="204">
        <v>416059.5</v>
      </c>
      <c r="E32" s="204">
        <v>636292.5</v>
      </c>
      <c r="F32" s="132">
        <f t="shared" si="2"/>
        <v>-0.34611911974445714</v>
      </c>
      <c r="G32" s="215">
        <f t="shared" si="3"/>
        <v>0.16630359576098397</v>
      </c>
      <c r="H32" s="123"/>
    </row>
    <row r="33" spans="1:8" ht="15.75">
      <c r="A33" s="19"/>
      <c r="B33" s="131">
        <f>DATE(2015,5,1)</f>
        <v>42125</v>
      </c>
      <c r="C33" s="204">
        <v>2996479</v>
      </c>
      <c r="D33" s="204">
        <v>659950.5</v>
      </c>
      <c r="E33" s="204">
        <v>441878</v>
      </c>
      <c r="F33" s="132">
        <f t="shared" si="2"/>
        <v>0.4935129153295706</v>
      </c>
      <c r="G33" s="215">
        <f t="shared" si="3"/>
        <v>0.22024199068306502</v>
      </c>
      <c r="H33" s="123"/>
    </row>
    <row r="34" spans="1:8" ht="15.75" thickBot="1">
      <c r="A34" s="133"/>
      <c r="B34" s="131"/>
      <c r="C34" s="204"/>
      <c r="D34" s="204"/>
      <c r="E34" s="204"/>
      <c r="F34" s="132"/>
      <c r="G34" s="215"/>
      <c r="H34" s="123"/>
    </row>
    <row r="35" spans="1:8" ht="17.25" thickBot="1" thickTop="1">
      <c r="A35" s="135" t="s">
        <v>14</v>
      </c>
      <c r="B35" s="136"/>
      <c r="C35" s="201">
        <f>SUM(C23:C34)</f>
        <v>29122258.259999998</v>
      </c>
      <c r="D35" s="201">
        <f>SUM(D23:D34)</f>
        <v>6170237.76</v>
      </c>
      <c r="E35" s="201">
        <f>SUM(E23:E34)</f>
        <v>5714215</v>
      </c>
      <c r="F35" s="137">
        <f>(+D35-E35)/E35</f>
        <v>0.07980497058651097</v>
      </c>
      <c r="G35" s="212">
        <f>D35/C35</f>
        <v>0.2118736021400835</v>
      </c>
      <c r="H35" s="123"/>
    </row>
    <row r="36" spans="1:8" ht="15.75" customHeight="1" thickTop="1">
      <c r="A36" s="255"/>
      <c r="B36" s="139"/>
      <c r="C36" s="205"/>
      <c r="D36" s="205"/>
      <c r="E36" s="205"/>
      <c r="F36" s="140"/>
      <c r="G36" s="219"/>
      <c r="H36" s="123"/>
    </row>
    <row r="37" spans="1:8" ht="15.75">
      <c r="A37" s="19" t="s">
        <v>56</v>
      </c>
      <c r="B37" s="131">
        <f>DATE(2014,7,1)</f>
        <v>41821</v>
      </c>
      <c r="C37" s="204">
        <v>1069599</v>
      </c>
      <c r="D37" s="204">
        <v>269057.5</v>
      </c>
      <c r="E37" s="204">
        <v>327537.5</v>
      </c>
      <c r="F37" s="132">
        <f aca="true" t="shared" si="4" ref="F37:F47">(+D37-E37)/E37</f>
        <v>-0.17854444147616685</v>
      </c>
      <c r="G37" s="215">
        <f aca="true" t="shared" si="5" ref="G37:G47">D37/C37</f>
        <v>0.25154987990826466</v>
      </c>
      <c r="H37" s="123"/>
    </row>
    <row r="38" spans="1:8" ht="15.75">
      <c r="A38" s="19"/>
      <c r="B38" s="131">
        <f>DATE(2014,8,1)</f>
        <v>41852</v>
      </c>
      <c r="C38" s="204">
        <v>1248717</v>
      </c>
      <c r="D38" s="204">
        <v>293428.5</v>
      </c>
      <c r="E38" s="204">
        <v>291070.5</v>
      </c>
      <c r="F38" s="132">
        <f t="shared" si="4"/>
        <v>0.008101130138574676</v>
      </c>
      <c r="G38" s="215">
        <f t="shared" si="5"/>
        <v>0.23498398756483654</v>
      </c>
      <c r="H38" s="123"/>
    </row>
    <row r="39" spans="1:8" ht="15.75">
      <c r="A39" s="19"/>
      <c r="B39" s="131">
        <f>DATE(2014,9,1)</f>
        <v>41883</v>
      </c>
      <c r="C39" s="204">
        <v>1112421</v>
      </c>
      <c r="D39" s="204">
        <v>281304</v>
      </c>
      <c r="E39" s="204">
        <v>327340.5</v>
      </c>
      <c r="F39" s="132">
        <f t="shared" si="4"/>
        <v>-0.1406379595558753</v>
      </c>
      <c r="G39" s="215">
        <f t="shared" si="5"/>
        <v>0.2528754850906267</v>
      </c>
      <c r="H39" s="123"/>
    </row>
    <row r="40" spans="1:8" ht="15.75">
      <c r="A40" s="19"/>
      <c r="B40" s="131">
        <f>DATE(2014,10,1)</f>
        <v>41913</v>
      </c>
      <c r="C40" s="204">
        <v>1119877</v>
      </c>
      <c r="D40" s="204">
        <v>223101</v>
      </c>
      <c r="E40" s="204">
        <v>282921</v>
      </c>
      <c r="F40" s="132">
        <f t="shared" si="4"/>
        <v>-0.21143711495435122</v>
      </c>
      <c r="G40" s="215">
        <f t="shared" si="5"/>
        <v>0.19921919996571053</v>
      </c>
      <c r="H40" s="123"/>
    </row>
    <row r="41" spans="1:8" ht="15.75">
      <c r="A41" s="19"/>
      <c r="B41" s="131">
        <f>DATE(2014,11,1)</f>
        <v>41944</v>
      </c>
      <c r="C41" s="204">
        <v>1206563</v>
      </c>
      <c r="D41" s="204">
        <v>243735</v>
      </c>
      <c r="E41" s="204">
        <v>255459</v>
      </c>
      <c r="F41" s="132">
        <f t="shared" si="4"/>
        <v>-0.045893861637288175</v>
      </c>
      <c r="G41" s="215">
        <f t="shared" si="5"/>
        <v>0.2020076862957011</v>
      </c>
      <c r="H41" s="123"/>
    </row>
    <row r="42" spans="1:8" ht="15.75">
      <c r="A42" s="19"/>
      <c r="B42" s="131">
        <f>DATE(2014,12,1)</f>
        <v>41974</v>
      </c>
      <c r="C42" s="204">
        <v>1237520</v>
      </c>
      <c r="D42" s="204">
        <v>287131.5</v>
      </c>
      <c r="E42" s="204">
        <v>249521</v>
      </c>
      <c r="F42" s="132">
        <f t="shared" si="4"/>
        <v>0.1507308002132085</v>
      </c>
      <c r="G42" s="215">
        <f t="shared" si="5"/>
        <v>0.23202170469972203</v>
      </c>
      <c r="H42" s="123"/>
    </row>
    <row r="43" spans="1:8" ht="15.75">
      <c r="A43" s="19"/>
      <c r="B43" s="131">
        <f>DATE(2015,1,1)</f>
        <v>42005</v>
      </c>
      <c r="C43" s="204">
        <v>1392847</v>
      </c>
      <c r="D43" s="204">
        <v>278030</v>
      </c>
      <c r="E43" s="204">
        <v>304707.5</v>
      </c>
      <c r="F43" s="132">
        <f t="shared" si="4"/>
        <v>-0.08755117612792596</v>
      </c>
      <c r="G43" s="215">
        <f t="shared" si="5"/>
        <v>0.19961273564145954</v>
      </c>
      <c r="H43" s="123"/>
    </row>
    <row r="44" spans="1:8" ht="15.75">
      <c r="A44" s="19"/>
      <c r="B44" s="131">
        <f>DATE(2015,2,1)</f>
        <v>42036</v>
      </c>
      <c r="C44" s="204">
        <v>1429028</v>
      </c>
      <c r="D44" s="204">
        <v>316239.5</v>
      </c>
      <c r="E44" s="204">
        <v>284188</v>
      </c>
      <c r="F44" s="132">
        <f t="shared" si="4"/>
        <v>0.11278273537235914</v>
      </c>
      <c r="G44" s="215">
        <f t="shared" si="5"/>
        <v>0.22129692350324837</v>
      </c>
      <c r="H44" s="123"/>
    </row>
    <row r="45" spans="1:8" ht="15.75">
      <c r="A45" s="19"/>
      <c r="B45" s="131">
        <f>DATE(2015,3,1)</f>
        <v>42064</v>
      </c>
      <c r="C45" s="204">
        <v>1501252</v>
      </c>
      <c r="D45" s="204">
        <v>299330.5</v>
      </c>
      <c r="E45" s="204">
        <v>335496</v>
      </c>
      <c r="F45" s="132">
        <f t="shared" si="4"/>
        <v>-0.10779711233516942</v>
      </c>
      <c r="G45" s="215">
        <f t="shared" si="5"/>
        <v>0.19938724477969055</v>
      </c>
      <c r="H45" s="123"/>
    </row>
    <row r="46" spans="1:8" ht="15.75">
      <c r="A46" s="19"/>
      <c r="B46" s="131">
        <f>DATE(2015,4,1)</f>
        <v>42095</v>
      </c>
      <c r="C46" s="204">
        <v>1287165</v>
      </c>
      <c r="D46" s="204">
        <v>323481.5</v>
      </c>
      <c r="E46" s="204">
        <v>306756.5</v>
      </c>
      <c r="F46" s="132">
        <f t="shared" si="4"/>
        <v>0.05452207206693257</v>
      </c>
      <c r="G46" s="215">
        <f t="shared" si="5"/>
        <v>0.2513131572098371</v>
      </c>
      <c r="H46" s="123"/>
    </row>
    <row r="47" spans="1:8" ht="15.75">
      <c r="A47" s="19"/>
      <c r="B47" s="131">
        <f>DATE(2015,5,1)</f>
        <v>42125</v>
      </c>
      <c r="C47" s="204">
        <v>1331673</v>
      </c>
      <c r="D47" s="204">
        <v>322685.5</v>
      </c>
      <c r="E47" s="204">
        <v>232797</v>
      </c>
      <c r="F47" s="132">
        <f t="shared" si="4"/>
        <v>0.3861239620785491</v>
      </c>
      <c r="G47" s="215">
        <f t="shared" si="5"/>
        <v>0.2423158688356676</v>
      </c>
      <c r="H47" s="123"/>
    </row>
    <row r="48" spans="1:8" ht="15.75" thickBot="1">
      <c r="A48" s="133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6">
        <f>SUM(C37:C48)</f>
        <v>13936662</v>
      </c>
      <c r="D49" s="206">
        <f>SUM(D37:D48)</f>
        <v>3137524.5</v>
      </c>
      <c r="E49" s="206">
        <f>SUM(E37:E48)</f>
        <v>3197794.5</v>
      </c>
      <c r="F49" s="143">
        <f>(+D49-E49)/E49</f>
        <v>-0.018847364957316676</v>
      </c>
      <c r="G49" s="217">
        <f>D49/C49</f>
        <v>0.22512740138205262</v>
      </c>
      <c r="H49" s="123"/>
    </row>
    <row r="50" spans="1:8" ht="15.75" thickTop="1">
      <c r="A50" s="133"/>
      <c r="B50" s="134"/>
      <c r="C50" s="204"/>
      <c r="D50" s="204"/>
      <c r="E50" s="204"/>
      <c r="F50" s="132"/>
      <c r="G50" s="218"/>
      <c r="H50" s="123"/>
    </row>
    <row r="51" spans="1:8" ht="15.75">
      <c r="A51" s="177" t="s">
        <v>67</v>
      </c>
      <c r="B51" s="131">
        <f>DATE(2014,7,1)</f>
        <v>41821</v>
      </c>
      <c r="C51" s="204">
        <v>11678724</v>
      </c>
      <c r="D51" s="204">
        <v>2863106.21</v>
      </c>
      <c r="E51" s="204">
        <v>2879949.68</v>
      </c>
      <c r="F51" s="132">
        <f aca="true" t="shared" si="6" ref="F51:F61">(+D51-E51)/E51</f>
        <v>-0.005848529270136485</v>
      </c>
      <c r="G51" s="215">
        <f aca="true" t="shared" si="7" ref="G51:G61">D51/C51</f>
        <v>0.24515573876050156</v>
      </c>
      <c r="H51" s="123"/>
    </row>
    <row r="52" spans="1:8" ht="15.75">
      <c r="A52" s="177"/>
      <c r="B52" s="131">
        <f>DATE(2014,8,1)</f>
        <v>41852</v>
      </c>
      <c r="C52" s="204">
        <v>11698237</v>
      </c>
      <c r="D52" s="204">
        <v>1916626.25</v>
      </c>
      <c r="E52" s="204">
        <v>2484831.68</v>
      </c>
      <c r="F52" s="132">
        <f t="shared" si="6"/>
        <v>-0.22866958537811308</v>
      </c>
      <c r="G52" s="215">
        <f t="shared" si="7"/>
        <v>0.16383889726289524</v>
      </c>
      <c r="H52" s="123"/>
    </row>
    <row r="53" spans="1:8" ht="15.75">
      <c r="A53" s="177"/>
      <c r="B53" s="131">
        <f>DATE(2014,9,1)</f>
        <v>41883</v>
      </c>
      <c r="C53" s="204">
        <v>10583987.5</v>
      </c>
      <c r="D53" s="204">
        <v>1773873.21</v>
      </c>
      <c r="E53" s="204">
        <v>2818834.5</v>
      </c>
      <c r="F53" s="132">
        <f t="shared" si="6"/>
        <v>-0.3707068612932047</v>
      </c>
      <c r="G53" s="215">
        <f t="shared" si="7"/>
        <v>0.16759970757713008</v>
      </c>
      <c r="H53" s="123"/>
    </row>
    <row r="54" spans="1:8" ht="15.75">
      <c r="A54" s="177"/>
      <c r="B54" s="131">
        <f>DATE(2014,10,1)</f>
        <v>41913</v>
      </c>
      <c r="C54" s="204">
        <v>11534699</v>
      </c>
      <c r="D54" s="204">
        <v>2542192.75</v>
      </c>
      <c r="E54" s="204">
        <v>2363858.13</v>
      </c>
      <c r="F54" s="132">
        <f t="shared" si="6"/>
        <v>0.07544218400281075</v>
      </c>
      <c r="G54" s="215">
        <f t="shared" si="7"/>
        <v>0.22039523961570215</v>
      </c>
      <c r="H54" s="123"/>
    </row>
    <row r="55" spans="1:8" ht="15.75">
      <c r="A55" s="177"/>
      <c r="B55" s="131">
        <f>DATE(2014,11,1)</f>
        <v>41944</v>
      </c>
      <c r="C55" s="204">
        <v>12389795.5</v>
      </c>
      <c r="D55" s="204">
        <v>2296283.49</v>
      </c>
      <c r="E55" s="204">
        <v>2362571.5</v>
      </c>
      <c r="F55" s="132">
        <f t="shared" si="6"/>
        <v>-0.02805756778154641</v>
      </c>
      <c r="G55" s="215">
        <f t="shared" si="7"/>
        <v>0.18533667403953522</v>
      </c>
      <c r="H55" s="123"/>
    </row>
    <row r="56" spans="1:8" ht="15.75">
      <c r="A56" s="177"/>
      <c r="B56" s="131">
        <f>DATE(2014,12,1)</f>
        <v>41974</v>
      </c>
      <c r="C56" s="204">
        <v>12909291</v>
      </c>
      <c r="D56" s="204">
        <v>2110126.12</v>
      </c>
      <c r="E56" s="204">
        <v>2755305.96</v>
      </c>
      <c r="F56" s="132">
        <f t="shared" si="6"/>
        <v>-0.23415905506189225</v>
      </c>
      <c r="G56" s="215">
        <f t="shared" si="7"/>
        <v>0.1634579404864295</v>
      </c>
      <c r="H56" s="123"/>
    </row>
    <row r="57" spans="1:8" ht="15.75">
      <c r="A57" s="177"/>
      <c r="B57" s="131">
        <f>DATE(2015,1,1)</f>
        <v>42005</v>
      </c>
      <c r="C57" s="204">
        <v>13069833.01</v>
      </c>
      <c r="D57" s="204">
        <v>2228063.78</v>
      </c>
      <c r="E57" s="204">
        <v>2460387.11</v>
      </c>
      <c r="F57" s="132">
        <f t="shared" si="6"/>
        <v>-0.0944255190802069</v>
      </c>
      <c r="G57" s="215">
        <f t="shared" si="7"/>
        <v>0.17047377562477364</v>
      </c>
      <c r="H57" s="123"/>
    </row>
    <row r="58" spans="1:8" ht="15.75">
      <c r="A58" s="177"/>
      <c r="B58" s="131">
        <f>DATE(2015,2,1)</f>
        <v>42036</v>
      </c>
      <c r="C58" s="204">
        <v>13060885</v>
      </c>
      <c r="D58" s="204">
        <v>2360805.29</v>
      </c>
      <c r="E58" s="204">
        <v>2900728.72</v>
      </c>
      <c r="F58" s="132">
        <f t="shared" si="6"/>
        <v>-0.18613372090858607</v>
      </c>
      <c r="G58" s="215">
        <f t="shared" si="7"/>
        <v>0.18075385320366882</v>
      </c>
      <c r="H58" s="123"/>
    </row>
    <row r="59" spans="1:8" ht="15.75">
      <c r="A59" s="177"/>
      <c r="B59" s="131">
        <f>DATE(2015,3,1)</f>
        <v>42064</v>
      </c>
      <c r="C59" s="204">
        <v>13365005.25</v>
      </c>
      <c r="D59" s="204">
        <v>2566916.93</v>
      </c>
      <c r="E59" s="204">
        <v>2940734.88</v>
      </c>
      <c r="F59" s="132">
        <f t="shared" si="6"/>
        <v>-0.1271171884763715</v>
      </c>
      <c r="G59" s="215">
        <f t="shared" si="7"/>
        <v>0.1920625455796211</v>
      </c>
      <c r="H59" s="123"/>
    </row>
    <row r="60" spans="1:8" ht="15.75">
      <c r="A60" s="177"/>
      <c r="B60" s="131">
        <f>DATE(2015,4,1)</f>
        <v>42095</v>
      </c>
      <c r="C60" s="204">
        <v>12890855</v>
      </c>
      <c r="D60" s="204">
        <v>2168011.64</v>
      </c>
      <c r="E60" s="204">
        <v>2548272.3</v>
      </c>
      <c r="F60" s="132">
        <f t="shared" si="6"/>
        <v>-0.14922293037521922</v>
      </c>
      <c r="G60" s="215">
        <f t="shared" si="7"/>
        <v>0.16818214462888614</v>
      </c>
      <c r="H60" s="123"/>
    </row>
    <row r="61" spans="1:8" ht="15.75">
      <c r="A61" s="177"/>
      <c r="B61" s="131">
        <f>DATE(2015,5,1)</f>
        <v>42125</v>
      </c>
      <c r="C61" s="204">
        <v>13856692</v>
      </c>
      <c r="D61" s="204">
        <v>2208897.88</v>
      </c>
      <c r="E61" s="204">
        <v>1815051.36</v>
      </c>
      <c r="F61" s="132">
        <f t="shared" si="6"/>
        <v>0.21698918756767288</v>
      </c>
      <c r="G61" s="215">
        <f t="shared" si="7"/>
        <v>0.1594101882325161</v>
      </c>
      <c r="H61" s="123"/>
    </row>
    <row r="62" spans="1:8" ht="15.75" customHeight="1" thickBot="1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Bot="1" thickTop="1">
      <c r="A63" s="141" t="s">
        <v>14</v>
      </c>
      <c r="B63" s="142"/>
      <c r="C63" s="206">
        <f>SUM(C51:C62)</f>
        <v>137038004.26</v>
      </c>
      <c r="D63" s="206">
        <f>SUM(D51:D62)</f>
        <v>25034903.55</v>
      </c>
      <c r="E63" s="206">
        <f>SUM(E51:E62)</f>
        <v>28330525.819999997</v>
      </c>
      <c r="F63" s="143">
        <f>(+D63-E63)/E63</f>
        <v>-0.11632760686967003</v>
      </c>
      <c r="G63" s="217">
        <f>D63/C63</f>
        <v>0.18268584459608506</v>
      </c>
      <c r="H63" s="123"/>
    </row>
    <row r="64" spans="1:8" ht="15.75" customHeight="1" thickTop="1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>
      <c r="A65" s="130" t="s">
        <v>39</v>
      </c>
      <c r="B65" s="131">
        <f>DATE(2014,7,1)</f>
        <v>41821</v>
      </c>
      <c r="C65" s="204">
        <v>13345838</v>
      </c>
      <c r="D65" s="204">
        <v>3102423</v>
      </c>
      <c r="E65" s="204">
        <v>2762564.05</v>
      </c>
      <c r="F65" s="132">
        <f aca="true" t="shared" si="8" ref="F65:F75">(+D65-E65)/E65</f>
        <v>0.12302301190084632</v>
      </c>
      <c r="G65" s="215">
        <f aca="true" t="shared" si="9" ref="G65:G75">D65/C65</f>
        <v>0.2324637089105982</v>
      </c>
      <c r="H65" s="123"/>
    </row>
    <row r="66" spans="1:8" ht="15" customHeight="1">
      <c r="A66" s="130"/>
      <c r="B66" s="131">
        <f>DATE(2014,8,1)</f>
        <v>41852</v>
      </c>
      <c r="C66" s="204">
        <v>14046302</v>
      </c>
      <c r="D66" s="204">
        <v>2663132</v>
      </c>
      <c r="E66" s="204">
        <v>2695314.5</v>
      </c>
      <c r="F66" s="132">
        <f t="shared" si="8"/>
        <v>-0.011940165053094916</v>
      </c>
      <c r="G66" s="215">
        <f t="shared" si="9"/>
        <v>0.18959666394756428</v>
      </c>
      <c r="H66" s="123"/>
    </row>
    <row r="67" spans="1:8" ht="15" customHeight="1">
      <c r="A67" s="130"/>
      <c r="B67" s="131">
        <f>DATE(2014,9,1)</f>
        <v>41883</v>
      </c>
      <c r="C67" s="204">
        <v>14676997</v>
      </c>
      <c r="D67" s="204">
        <v>3098908.5</v>
      </c>
      <c r="E67" s="204">
        <v>2489578</v>
      </c>
      <c r="F67" s="132">
        <f t="shared" si="8"/>
        <v>0.2447525243233994</v>
      </c>
      <c r="G67" s="215">
        <f t="shared" si="9"/>
        <v>0.21114050101665893</v>
      </c>
      <c r="H67" s="123"/>
    </row>
    <row r="68" spans="1:8" ht="15" customHeight="1">
      <c r="A68" s="130"/>
      <c r="B68" s="131">
        <f>DATE(2014,10,1)</f>
        <v>41913</v>
      </c>
      <c r="C68" s="204">
        <v>15546097</v>
      </c>
      <c r="D68" s="204">
        <v>3451515</v>
      </c>
      <c r="E68" s="204">
        <v>3395869.51</v>
      </c>
      <c r="F68" s="132">
        <f t="shared" si="8"/>
        <v>0.016386227396588106</v>
      </c>
      <c r="G68" s="215">
        <f t="shared" si="9"/>
        <v>0.22201810525175547</v>
      </c>
      <c r="H68" s="123"/>
    </row>
    <row r="69" spans="1:8" ht="15" customHeight="1">
      <c r="A69" s="130"/>
      <c r="B69" s="131">
        <f>DATE(2014,11,1)</f>
        <v>41944</v>
      </c>
      <c r="C69" s="204">
        <v>13930538</v>
      </c>
      <c r="D69" s="204">
        <v>3402947</v>
      </c>
      <c r="E69" s="204">
        <v>3253002.5</v>
      </c>
      <c r="F69" s="132">
        <f t="shared" si="8"/>
        <v>0.0460941852949698</v>
      </c>
      <c r="G69" s="215">
        <f t="shared" si="9"/>
        <v>0.24427965380805824</v>
      </c>
      <c r="H69" s="123"/>
    </row>
    <row r="70" spans="1:8" ht="15" customHeight="1">
      <c r="A70" s="130"/>
      <c r="B70" s="131">
        <f>DATE(2014,12,1)</f>
        <v>41974</v>
      </c>
      <c r="C70" s="204">
        <v>14930736</v>
      </c>
      <c r="D70" s="204">
        <v>3550949.5</v>
      </c>
      <c r="E70" s="204">
        <v>2630072</v>
      </c>
      <c r="F70" s="132">
        <f t="shared" si="8"/>
        <v>0.350133950705532</v>
      </c>
      <c r="G70" s="215">
        <f t="shared" si="9"/>
        <v>0.23782816198745996</v>
      </c>
      <c r="H70" s="123"/>
    </row>
    <row r="71" spans="1:8" ht="15" customHeight="1">
      <c r="A71" s="130"/>
      <c r="B71" s="131">
        <f>DATE(2015,1,1)</f>
        <v>42005</v>
      </c>
      <c r="C71" s="204">
        <v>13096423</v>
      </c>
      <c r="D71" s="204">
        <v>2878007.5</v>
      </c>
      <c r="E71" s="204">
        <v>2502587</v>
      </c>
      <c r="F71" s="132">
        <f t="shared" si="8"/>
        <v>0.15001296658218075</v>
      </c>
      <c r="G71" s="215">
        <f t="shared" si="9"/>
        <v>0.21975523392914234</v>
      </c>
      <c r="H71" s="123"/>
    </row>
    <row r="72" spans="1:8" ht="15" customHeight="1">
      <c r="A72" s="130"/>
      <c r="B72" s="131">
        <f>DATE(2015,2,1)</f>
        <v>42036</v>
      </c>
      <c r="C72" s="204">
        <v>13266779</v>
      </c>
      <c r="D72" s="204">
        <v>2961573</v>
      </c>
      <c r="E72" s="204">
        <v>2457687</v>
      </c>
      <c r="F72" s="132">
        <f t="shared" si="8"/>
        <v>0.20502448033455847</v>
      </c>
      <c r="G72" s="215">
        <f t="shared" si="9"/>
        <v>0.22323225554597692</v>
      </c>
      <c r="H72" s="123"/>
    </row>
    <row r="73" spans="1:8" ht="15" customHeight="1">
      <c r="A73" s="130"/>
      <c r="B73" s="131">
        <f>DATE(2015,3,1)</f>
        <v>42064</v>
      </c>
      <c r="C73" s="204">
        <v>15623181</v>
      </c>
      <c r="D73" s="204">
        <v>3940140.5</v>
      </c>
      <c r="E73" s="204">
        <v>2951671</v>
      </c>
      <c r="F73" s="132">
        <f t="shared" si="8"/>
        <v>0.33488471445496465</v>
      </c>
      <c r="G73" s="215">
        <f t="shared" si="9"/>
        <v>0.2521983519233375</v>
      </c>
      <c r="H73" s="123"/>
    </row>
    <row r="74" spans="1:8" ht="15" customHeight="1">
      <c r="A74" s="130"/>
      <c r="B74" s="131">
        <f>DATE(2015,4,1)</f>
        <v>42095</v>
      </c>
      <c r="C74" s="204">
        <v>15307153</v>
      </c>
      <c r="D74" s="204">
        <v>3204032.99</v>
      </c>
      <c r="E74" s="204">
        <v>2965777.5</v>
      </c>
      <c r="F74" s="132">
        <f t="shared" si="8"/>
        <v>0.0803349172350253</v>
      </c>
      <c r="G74" s="215">
        <f t="shared" si="9"/>
        <v>0.2093160622357404</v>
      </c>
      <c r="H74" s="123"/>
    </row>
    <row r="75" spans="1:8" ht="15" customHeight="1">
      <c r="A75" s="130"/>
      <c r="B75" s="131">
        <f>DATE(2015,5,1)</f>
        <v>42125</v>
      </c>
      <c r="C75" s="204">
        <v>15871177</v>
      </c>
      <c r="D75" s="204">
        <v>3418006.25</v>
      </c>
      <c r="E75" s="204">
        <v>3327881</v>
      </c>
      <c r="F75" s="132">
        <f t="shared" si="8"/>
        <v>0.027081872819370644</v>
      </c>
      <c r="G75" s="215">
        <f t="shared" si="9"/>
        <v>0.2153593429145173</v>
      </c>
      <c r="H75" s="123"/>
    </row>
    <row r="76" spans="1:8" ht="15.75" thickBot="1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Bot="1" thickTop="1">
      <c r="A77" s="141" t="s">
        <v>14</v>
      </c>
      <c r="B77" s="142"/>
      <c r="C77" s="207">
        <f>SUM(C65:C76)</f>
        <v>159641221</v>
      </c>
      <c r="D77" s="263">
        <f>SUM(D65:D76)</f>
        <v>35671635.24</v>
      </c>
      <c r="E77" s="206">
        <f>SUM(E65:E76)</f>
        <v>31432004.06</v>
      </c>
      <c r="F77" s="270">
        <f>(+D77-E77)/E77</f>
        <v>0.13488262383483554</v>
      </c>
      <c r="G77" s="269">
        <f>D77/C77</f>
        <v>0.22344877479983696</v>
      </c>
      <c r="H77" s="123"/>
    </row>
    <row r="78" spans="1:8" ht="15.75" customHeight="1" thickTop="1">
      <c r="A78" s="130"/>
      <c r="B78" s="134"/>
      <c r="C78" s="204"/>
      <c r="D78" s="204"/>
      <c r="E78" s="204"/>
      <c r="F78" s="132"/>
      <c r="G78" s="218"/>
      <c r="H78" s="123"/>
    </row>
    <row r="79" spans="1:8" ht="15.75">
      <c r="A79" s="130" t="s">
        <v>68</v>
      </c>
      <c r="B79" s="131">
        <f>DATE(2014,7,1)</f>
        <v>41821</v>
      </c>
      <c r="C79" s="204">
        <v>2669287</v>
      </c>
      <c r="D79" s="204">
        <v>735730.5</v>
      </c>
      <c r="E79" s="204">
        <v>576221.5</v>
      </c>
      <c r="F79" s="132">
        <f aca="true" t="shared" si="10" ref="F79:F89">(+D79-E79)/E79</f>
        <v>0.27681889689989003</v>
      </c>
      <c r="G79" s="215">
        <f aca="true" t="shared" si="11" ref="G79:G89">D79/C79</f>
        <v>0.2756280984397706</v>
      </c>
      <c r="H79" s="123"/>
    </row>
    <row r="80" spans="1:8" ht="15.75">
      <c r="A80" s="130"/>
      <c r="B80" s="131">
        <f>DATE(2014,8,1)</f>
        <v>41852</v>
      </c>
      <c r="C80" s="204">
        <v>2779084</v>
      </c>
      <c r="D80" s="204">
        <v>727825</v>
      </c>
      <c r="E80" s="204">
        <v>484224</v>
      </c>
      <c r="F80" s="132">
        <f t="shared" si="10"/>
        <v>0.5030750231297911</v>
      </c>
      <c r="G80" s="215">
        <f t="shared" si="11"/>
        <v>0.2618938470373691</v>
      </c>
      <c r="H80" s="123"/>
    </row>
    <row r="81" spans="1:8" ht="15.75">
      <c r="A81" s="130"/>
      <c r="B81" s="131">
        <f>DATE(2014,9,1)</f>
        <v>41883</v>
      </c>
      <c r="C81" s="204">
        <v>2495606</v>
      </c>
      <c r="D81" s="204">
        <v>570839</v>
      </c>
      <c r="E81" s="204">
        <v>503451</v>
      </c>
      <c r="F81" s="132">
        <f t="shared" si="10"/>
        <v>0.13385215244383267</v>
      </c>
      <c r="G81" s="215">
        <f t="shared" si="11"/>
        <v>0.2287376292571824</v>
      </c>
      <c r="H81" s="123"/>
    </row>
    <row r="82" spans="1:8" ht="15.75">
      <c r="A82" s="130"/>
      <c r="B82" s="131">
        <f>DATE(2014,10,1)</f>
        <v>41913</v>
      </c>
      <c r="C82" s="204">
        <v>2470729</v>
      </c>
      <c r="D82" s="204">
        <v>661480</v>
      </c>
      <c r="E82" s="204">
        <v>499649.5</v>
      </c>
      <c r="F82" s="132">
        <f t="shared" si="10"/>
        <v>0.32388804551990946</v>
      </c>
      <c r="G82" s="215">
        <f t="shared" si="11"/>
        <v>0.26772665071725793</v>
      </c>
      <c r="H82" s="123"/>
    </row>
    <row r="83" spans="1:8" ht="15.75">
      <c r="A83" s="130"/>
      <c r="B83" s="131">
        <f>DATE(2014,11,1)</f>
        <v>41944</v>
      </c>
      <c r="C83" s="204">
        <v>2540157</v>
      </c>
      <c r="D83" s="204">
        <v>551813.5</v>
      </c>
      <c r="E83" s="204">
        <v>533704.5</v>
      </c>
      <c r="F83" s="132">
        <f t="shared" si="10"/>
        <v>0.033930761310800264</v>
      </c>
      <c r="G83" s="215">
        <f t="shared" si="11"/>
        <v>0.21723598187041196</v>
      </c>
      <c r="H83" s="123"/>
    </row>
    <row r="84" spans="1:8" ht="15.75">
      <c r="A84" s="130"/>
      <c r="B84" s="131">
        <f>DATE(2014,12,1)</f>
        <v>41974</v>
      </c>
      <c r="C84" s="204">
        <v>2833866</v>
      </c>
      <c r="D84" s="204">
        <v>613540.5</v>
      </c>
      <c r="E84" s="204">
        <v>531193.5</v>
      </c>
      <c r="F84" s="132">
        <f t="shared" si="10"/>
        <v>0.15502260475702356</v>
      </c>
      <c r="G84" s="215">
        <f t="shared" si="11"/>
        <v>0.2165030033177292</v>
      </c>
      <c r="H84" s="123"/>
    </row>
    <row r="85" spans="1:8" ht="15.75">
      <c r="A85" s="130"/>
      <c r="B85" s="131">
        <f>DATE(2015,1,1)</f>
        <v>42005</v>
      </c>
      <c r="C85" s="204">
        <v>2667425</v>
      </c>
      <c r="D85" s="204">
        <v>634906</v>
      </c>
      <c r="E85" s="204">
        <v>601577.5</v>
      </c>
      <c r="F85" s="132">
        <f t="shared" si="10"/>
        <v>0.055401839330759546</v>
      </c>
      <c r="G85" s="215">
        <f t="shared" si="11"/>
        <v>0.2380220624759834</v>
      </c>
      <c r="H85" s="123"/>
    </row>
    <row r="86" spans="1:8" ht="15.75">
      <c r="A86" s="130"/>
      <c r="B86" s="131">
        <f>DATE(2015,2,1)</f>
        <v>42036</v>
      </c>
      <c r="C86" s="204">
        <v>2881370.5</v>
      </c>
      <c r="D86" s="204">
        <v>617008.5</v>
      </c>
      <c r="E86" s="204">
        <v>578293</v>
      </c>
      <c r="F86" s="132">
        <f t="shared" si="10"/>
        <v>0.06694789665446409</v>
      </c>
      <c r="G86" s="215">
        <f t="shared" si="11"/>
        <v>0.2141371614653513</v>
      </c>
      <c r="H86" s="123"/>
    </row>
    <row r="87" spans="1:8" ht="15.75">
      <c r="A87" s="130"/>
      <c r="B87" s="131">
        <f>DATE(2015,3,1)</f>
        <v>42064</v>
      </c>
      <c r="C87" s="204">
        <v>3179765</v>
      </c>
      <c r="D87" s="204">
        <v>700495.5</v>
      </c>
      <c r="E87" s="204">
        <v>703541.5</v>
      </c>
      <c r="F87" s="132">
        <f t="shared" si="10"/>
        <v>-0.00432952427113397</v>
      </c>
      <c r="G87" s="215">
        <f t="shared" si="11"/>
        <v>0.22029788364863442</v>
      </c>
      <c r="H87" s="123"/>
    </row>
    <row r="88" spans="1:8" ht="15.75">
      <c r="A88" s="130"/>
      <c r="B88" s="131">
        <f>DATE(2015,4,1)</f>
        <v>42095</v>
      </c>
      <c r="C88" s="204">
        <v>3041642</v>
      </c>
      <c r="D88" s="204">
        <v>605288</v>
      </c>
      <c r="E88" s="204">
        <v>688012.5</v>
      </c>
      <c r="F88" s="132">
        <f t="shared" si="10"/>
        <v>-0.12023691430024891</v>
      </c>
      <c r="G88" s="215">
        <f t="shared" si="11"/>
        <v>0.19900040833207852</v>
      </c>
      <c r="H88" s="123"/>
    </row>
    <row r="89" spans="1:8" ht="15.75">
      <c r="A89" s="130"/>
      <c r="B89" s="131">
        <f>DATE(2015,5,1)</f>
        <v>42125</v>
      </c>
      <c r="C89" s="204">
        <v>2908521</v>
      </c>
      <c r="D89" s="204">
        <v>641385.02</v>
      </c>
      <c r="E89" s="204">
        <v>653483.5</v>
      </c>
      <c r="F89" s="132">
        <f t="shared" si="10"/>
        <v>-0.018513826286356092</v>
      </c>
      <c r="G89" s="215">
        <f t="shared" si="11"/>
        <v>0.22051930173445541</v>
      </c>
      <c r="H89" s="123"/>
    </row>
    <row r="90" spans="1:8" ht="15.75" customHeight="1" thickBot="1">
      <c r="A90" s="130"/>
      <c r="B90" s="131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7">
        <f>SUM(C79:C90)</f>
        <v>30467452.5</v>
      </c>
      <c r="D91" s="263">
        <f>SUM(D79:D90)</f>
        <v>7060311.52</v>
      </c>
      <c r="E91" s="207">
        <f>SUM(E79:E90)</f>
        <v>6353352</v>
      </c>
      <c r="F91" s="270">
        <f>(+D91-E91)/E91</f>
        <v>0.11127346950082406</v>
      </c>
      <c r="G91" s="269">
        <f>D91/C91</f>
        <v>0.2317329130159471</v>
      </c>
      <c r="H91" s="123"/>
    </row>
    <row r="92" spans="1:8" ht="15.75" customHeight="1" thickTop="1">
      <c r="A92" s="130"/>
      <c r="B92" s="134"/>
      <c r="C92" s="204"/>
      <c r="D92" s="204"/>
      <c r="E92" s="204"/>
      <c r="F92" s="132"/>
      <c r="G92" s="218"/>
      <c r="H92" s="123"/>
    </row>
    <row r="93" spans="1:8" ht="15.75">
      <c r="A93" s="130" t="s">
        <v>17</v>
      </c>
      <c r="B93" s="131">
        <f>DATE(2014,7,1)</f>
        <v>41821</v>
      </c>
      <c r="C93" s="204">
        <v>2090125.25</v>
      </c>
      <c r="D93" s="204">
        <v>301337.75</v>
      </c>
      <c r="E93" s="204">
        <v>408942</v>
      </c>
      <c r="F93" s="132">
        <f aca="true" t="shared" si="12" ref="F93:F103">(+D93-E93)/E93</f>
        <v>-0.2631283898450147</v>
      </c>
      <c r="G93" s="215">
        <f aca="true" t="shared" si="13" ref="G93:G103">D93/C93</f>
        <v>0.1441721016479754</v>
      </c>
      <c r="H93" s="123"/>
    </row>
    <row r="94" spans="1:8" ht="15.75">
      <c r="A94" s="130"/>
      <c r="B94" s="131">
        <f>DATE(2014,8,1)</f>
        <v>41852</v>
      </c>
      <c r="C94" s="204">
        <v>2291076.51</v>
      </c>
      <c r="D94" s="204">
        <v>367412.51</v>
      </c>
      <c r="E94" s="204">
        <v>382224</v>
      </c>
      <c r="F94" s="132">
        <f t="shared" si="12"/>
        <v>-0.038750811042739315</v>
      </c>
      <c r="G94" s="215">
        <f t="shared" si="13"/>
        <v>0.16036675702288095</v>
      </c>
      <c r="H94" s="123"/>
    </row>
    <row r="95" spans="1:8" ht="15.75">
      <c r="A95" s="130"/>
      <c r="B95" s="131">
        <f>DATE(2014,9,1)</f>
        <v>41883</v>
      </c>
      <c r="C95" s="204">
        <v>1978247.25</v>
      </c>
      <c r="D95" s="204">
        <v>473348.25</v>
      </c>
      <c r="E95" s="204">
        <v>379540.5</v>
      </c>
      <c r="F95" s="132">
        <f t="shared" si="12"/>
        <v>0.24716137013046038</v>
      </c>
      <c r="G95" s="215">
        <f t="shared" si="13"/>
        <v>0.23927658688771083</v>
      </c>
      <c r="H95" s="123"/>
    </row>
    <row r="96" spans="1:8" ht="15.75">
      <c r="A96" s="130"/>
      <c r="B96" s="131">
        <f>DATE(2014,10,1)</f>
        <v>41913</v>
      </c>
      <c r="C96" s="204">
        <v>2152537.1</v>
      </c>
      <c r="D96" s="204">
        <v>303884.6</v>
      </c>
      <c r="E96" s="204">
        <v>521112.5</v>
      </c>
      <c r="F96" s="132">
        <f t="shared" si="12"/>
        <v>-0.41685413418407735</v>
      </c>
      <c r="G96" s="215">
        <f t="shared" si="13"/>
        <v>0.14117508125643918</v>
      </c>
      <c r="H96" s="123"/>
    </row>
    <row r="97" spans="1:8" ht="15.75">
      <c r="A97" s="130"/>
      <c r="B97" s="131">
        <f>DATE(2014,11,1)</f>
        <v>41944</v>
      </c>
      <c r="C97" s="204">
        <v>1923126.5</v>
      </c>
      <c r="D97" s="204">
        <v>299669.5</v>
      </c>
      <c r="E97" s="204">
        <v>377449</v>
      </c>
      <c r="F97" s="132">
        <f t="shared" si="12"/>
        <v>-0.20606625000993511</v>
      </c>
      <c r="G97" s="215">
        <f t="shared" si="13"/>
        <v>0.15582412285411282</v>
      </c>
      <c r="H97" s="123"/>
    </row>
    <row r="98" spans="1:8" ht="15.75">
      <c r="A98" s="130"/>
      <c r="B98" s="131">
        <f>DATE(2014,12,1)</f>
        <v>41974</v>
      </c>
      <c r="C98" s="204">
        <v>2050081.2</v>
      </c>
      <c r="D98" s="204">
        <v>221697.7</v>
      </c>
      <c r="E98" s="204">
        <v>343968.01</v>
      </c>
      <c r="F98" s="132">
        <f t="shared" si="12"/>
        <v>-0.3554700043181341</v>
      </c>
      <c r="G98" s="215">
        <f t="shared" si="13"/>
        <v>0.108140936076093</v>
      </c>
      <c r="H98" s="123"/>
    </row>
    <row r="99" spans="1:8" ht="15.75">
      <c r="A99" s="130"/>
      <c r="B99" s="131">
        <f>DATE(2015,1,1)</f>
        <v>42005</v>
      </c>
      <c r="C99" s="204">
        <v>2111704</v>
      </c>
      <c r="D99" s="204">
        <v>267024.5</v>
      </c>
      <c r="E99" s="204">
        <v>484574.5</v>
      </c>
      <c r="F99" s="132">
        <f t="shared" si="12"/>
        <v>-0.4489505741635187</v>
      </c>
      <c r="G99" s="215">
        <f t="shared" si="13"/>
        <v>0.12644977705208685</v>
      </c>
      <c r="H99" s="123"/>
    </row>
    <row r="100" spans="1:8" ht="15.75">
      <c r="A100" s="130"/>
      <c r="B100" s="131">
        <f>DATE(2015,2,1)</f>
        <v>42036</v>
      </c>
      <c r="C100" s="204">
        <v>2208436.5</v>
      </c>
      <c r="D100" s="204">
        <v>434098</v>
      </c>
      <c r="E100" s="204">
        <v>360678.5</v>
      </c>
      <c r="F100" s="132">
        <f t="shared" si="12"/>
        <v>0.20355940262588426</v>
      </c>
      <c r="G100" s="215">
        <f t="shared" si="13"/>
        <v>0.1965634963921308</v>
      </c>
      <c r="H100" s="123"/>
    </row>
    <row r="101" spans="1:8" ht="15.75">
      <c r="A101" s="130"/>
      <c r="B101" s="131">
        <f>DATE(2015,3,1)</f>
        <v>42064</v>
      </c>
      <c r="C101" s="204">
        <v>2213707.5</v>
      </c>
      <c r="D101" s="204">
        <v>464649</v>
      </c>
      <c r="E101" s="204">
        <v>538343</v>
      </c>
      <c r="F101" s="132">
        <f t="shared" si="12"/>
        <v>-0.13689042116271596</v>
      </c>
      <c r="G101" s="215">
        <f t="shared" si="13"/>
        <v>0.20989629388706502</v>
      </c>
      <c r="H101" s="123"/>
    </row>
    <row r="102" spans="1:8" ht="15.75">
      <c r="A102" s="130"/>
      <c r="B102" s="131">
        <f>DATE(2015,4,1)</f>
        <v>42095</v>
      </c>
      <c r="C102" s="204">
        <v>2072875.75</v>
      </c>
      <c r="D102" s="204">
        <v>422907.25</v>
      </c>
      <c r="E102" s="204">
        <v>396153</v>
      </c>
      <c r="F102" s="132">
        <f t="shared" si="12"/>
        <v>0.06753514424982267</v>
      </c>
      <c r="G102" s="215">
        <f t="shared" si="13"/>
        <v>0.2040195848689918</v>
      </c>
      <c r="H102" s="123"/>
    </row>
    <row r="103" spans="1:8" ht="15.75">
      <c r="A103" s="130"/>
      <c r="B103" s="131">
        <f>DATE(2015,5,1)</f>
        <v>42125</v>
      </c>
      <c r="C103" s="204">
        <v>2146915.5</v>
      </c>
      <c r="D103" s="204">
        <v>340985.5</v>
      </c>
      <c r="E103" s="204">
        <v>399888</v>
      </c>
      <c r="F103" s="132">
        <f t="shared" si="12"/>
        <v>-0.14729749329812347</v>
      </c>
      <c r="G103" s="215">
        <f t="shared" si="13"/>
        <v>0.15882576654740255</v>
      </c>
      <c r="H103" s="123"/>
    </row>
    <row r="104" spans="1:8" ht="15.75" customHeight="1" thickBot="1">
      <c r="A104" s="130"/>
      <c r="B104" s="131"/>
      <c r="C104" s="204"/>
      <c r="D104" s="204"/>
      <c r="E104" s="204"/>
      <c r="F104" s="132"/>
      <c r="G104" s="215"/>
      <c r="H104" s="123"/>
    </row>
    <row r="105" spans="1:8" ht="17.25" thickBot="1" thickTop="1">
      <c r="A105" s="141" t="s">
        <v>14</v>
      </c>
      <c r="B105" s="142"/>
      <c r="C105" s="207">
        <f>SUM(C93:C104)</f>
        <v>23238833.06</v>
      </c>
      <c r="D105" s="263">
        <f>SUM(D93:D104)</f>
        <v>3897014.5599999996</v>
      </c>
      <c r="E105" s="207">
        <f>SUM(E93:E104)</f>
        <v>4592873.01</v>
      </c>
      <c r="F105" s="271">
        <f>(+D105-E105)/E105</f>
        <v>-0.15150831483581564</v>
      </c>
      <c r="G105" s="269">
        <f>D105/C105</f>
        <v>0.16769407267302774</v>
      </c>
      <c r="H105" s="123"/>
    </row>
    <row r="106" spans="1:8" ht="15.75" customHeight="1" thickTop="1">
      <c r="A106" s="130"/>
      <c r="B106" s="139"/>
      <c r="C106" s="205"/>
      <c r="D106" s="205"/>
      <c r="E106" s="205"/>
      <c r="F106" s="140"/>
      <c r="G106" s="216"/>
      <c r="H106" s="123"/>
    </row>
    <row r="107" spans="1:8" ht="15.75">
      <c r="A107" s="130" t="s">
        <v>69</v>
      </c>
      <c r="B107" s="131">
        <f>DATE(2014,7,1)</f>
        <v>41821</v>
      </c>
      <c r="C107" s="204">
        <v>11472720</v>
      </c>
      <c r="D107" s="204">
        <v>2162151.44</v>
      </c>
      <c r="E107" s="204">
        <v>2052769.15</v>
      </c>
      <c r="F107" s="132">
        <f aca="true" t="shared" si="14" ref="F107:F117">(+D107-E107)/E107</f>
        <v>0.05328523667651574</v>
      </c>
      <c r="G107" s="215">
        <f aca="true" t="shared" si="15" ref="G107:G117">D107/C107</f>
        <v>0.18846022913485205</v>
      </c>
      <c r="H107" s="123"/>
    </row>
    <row r="108" spans="1:8" ht="15.75">
      <c r="A108" s="130"/>
      <c r="B108" s="131">
        <f>DATE(2014,8,1)</f>
        <v>41852</v>
      </c>
      <c r="C108" s="204">
        <v>13269259</v>
      </c>
      <c r="D108" s="204">
        <v>2638324.5</v>
      </c>
      <c r="E108" s="204">
        <v>2822221.23</v>
      </c>
      <c r="F108" s="132">
        <f t="shared" si="14"/>
        <v>-0.06516028157013048</v>
      </c>
      <c r="G108" s="215">
        <f t="shared" si="15"/>
        <v>0.19882982915624753</v>
      </c>
      <c r="H108" s="123"/>
    </row>
    <row r="109" spans="1:8" ht="15.75">
      <c r="A109" s="130"/>
      <c r="B109" s="131">
        <f>DATE(2014,9,1)</f>
        <v>41883</v>
      </c>
      <c r="C109" s="204">
        <v>11946830</v>
      </c>
      <c r="D109" s="204">
        <v>2375626.68</v>
      </c>
      <c r="E109" s="204">
        <v>2714506.57</v>
      </c>
      <c r="F109" s="132">
        <f t="shared" si="14"/>
        <v>-0.12484032779482265</v>
      </c>
      <c r="G109" s="215">
        <f t="shared" si="15"/>
        <v>0.19884996103568897</v>
      </c>
      <c r="H109" s="123"/>
    </row>
    <row r="110" spans="1:8" ht="15.75">
      <c r="A110" s="130"/>
      <c r="B110" s="131">
        <f>DATE(2014,10,1)</f>
        <v>41913</v>
      </c>
      <c r="C110" s="204">
        <v>12288319</v>
      </c>
      <c r="D110" s="204">
        <v>2426645.58</v>
      </c>
      <c r="E110" s="204">
        <v>3336766</v>
      </c>
      <c r="F110" s="132">
        <f t="shared" si="14"/>
        <v>-0.27275524265111784</v>
      </c>
      <c r="G110" s="215">
        <f t="shared" si="15"/>
        <v>0.19747579632332138</v>
      </c>
      <c r="H110" s="123"/>
    </row>
    <row r="111" spans="1:8" ht="15.75">
      <c r="A111" s="130"/>
      <c r="B111" s="131">
        <f>DATE(2014,11,1)</f>
        <v>41944</v>
      </c>
      <c r="C111" s="204">
        <v>10760412</v>
      </c>
      <c r="D111" s="204">
        <v>2399078.8</v>
      </c>
      <c r="E111" s="204">
        <v>1994777.59</v>
      </c>
      <c r="F111" s="132">
        <f t="shared" si="14"/>
        <v>0.2026798436210624</v>
      </c>
      <c r="G111" s="215">
        <f t="shared" si="15"/>
        <v>0.2229541768475036</v>
      </c>
      <c r="H111" s="123"/>
    </row>
    <row r="112" spans="1:8" ht="15.75">
      <c r="A112" s="130"/>
      <c r="B112" s="131">
        <f>DATE(2014,12,1)</f>
        <v>41974</v>
      </c>
      <c r="C112" s="204">
        <v>10151536.5</v>
      </c>
      <c r="D112" s="204">
        <v>1778216.99</v>
      </c>
      <c r="E112" s="204">
        <v>2866220.63</v>
      </c>
      <c r="F112" s="132">
        <f t="shared" si="14"/>
        <v>-0.379595216297079</v>
      </c>
      <c r="G112" s="215">
        <f t="shared" si="15"/>
        <v>0.17516727541687901</v>
      </c>
      <c r="H112" s="123"/>
    </row>
    <row r="113" spans="1:8" ht="15.75">
      <c r="A113" s="130"/>
      <c r="B113" s="131">
        <f>DATE(2015,1,1)</f>
        <v>42005</v>
      </c>
      <c r="C113" s="204">
        <v>9369967</v>
      </c>
      <c r="D113" s="204">
        <v>2098089.29</v>
      </c>
      <c r="E113" s="204">
        <v>2274577.62</v>
      </c>
      <c r="F113" s="132">
        <f t="shared" si="14"/>
        <v>-0.0775916937053131</v>
      </c>
      <c r="G113" s="215">
        <f t="shared" si="15"/>
        <v>0.2239164011997054</v>
      </c>
      <c r="H113" s="123"/>
    </row>
    <row r="114" spans="1:8" ht="15.75">
      <c r="A114" s="130"/>
      <c r="B114" s="131">
        <f>DATE(2015,2,1)</f>
        <v>42036</v>
      </c>
      <c r="C114" s="204">
        <v>12010995</v>
      </c>
      <c r="D114" s="204">
        <v>2353284.36</v>
      </c>
      <c r="E114" s="204">
        <v>2249391.68</v>
      </c>
      <c r="F114" s="132">
        <f t="shared" si="14"/>
        <v>0.046187011770222115</v>
      </c>
      <c r="G114" s="215">
        <f t="shared" si="15"/>
        <v>0.19592751141766354</v>
      </c>
      <c r="H114" s="123"/>
    </row>
    <row r="115" spans="1:8" ht="15.75">
      <c r="A115" s="130"/>
      <c r="B115" s="131">
        <f>DATE(2015,3,1)</f>
        <v>42064</v>
      </c>
      <c r="C115" s="204">
        <v>13218298</v>
      </c>
      <c r="D115" s="204">
        <v>2431528.27</v>
      </c>
      <c r="E115" s="204">
        <v>3145989.62</v>
      </c>
      <c r="F115" s="132">
        <f t="shared" si="14"/>
        <v>-0.2271022591613001</v>
      </c>
      <c r="G115" s="215">
        <f t="shared" si="15"/>
        <v>0.18395169105735096</v>
      </c>
      <c r="H115" s="123"/>
    </row>
    <row r="116" spans="1:8" ht="15.75">
      <c r="A116" s="130"/>
      <c r="B116" s="131">
        <f>DATE(2015,4,1)</f>
        <v>42095</v>
      </c>
      <c r="C116" s="204">
        <v>12083910.5</v>
      </c>
      <c r="D116" s="204">
        <v>1692483.72</v>
      </c>
      <c r="E116" s="204">
        <v>1928970.71</v>
      </c>
      <c r="F116" s="132">
        <f t="shared" si="14"/>
        <v>-0.12259750175263158</v>
      </c>
      <c r="G116" s="215">
        <f t="shared" si="15"/>
        <v>0.14006092812421939</v>
      </c>
      <c r="H116" s="123"/>
    </row>
    <row r="117" spans="1:8" ht="15.75">
      <c r="A117" s="130"/>
      <c r="B117" s="131">
        <f>DATE(2015,5,1)</f>
        <v>42125</v>
      </c>
      <c r="C117" s="204">
        <v>13098792</v>
      </c>
      <c r="D117" s="204">
        <v>2712738.42</v>
      </c>
      <c r="E117" s="204">
        <v>2648808.17</v>
      </c>
      <c r="F117" s="132">
        <f t="shared" si="14"/>
        <v>0.024135477504208996</v>
      </c>
      <c r="G117" s="215">
        <f t="shared" si="15"/>
        <v>0.20709836601726325</v>
      </c>
      <c r="H117" s="123"/>
    </row>
    <row r="118" spans="1:8" ht="15.75" customHeight="1" thickBot="1">
      <c r="A118" s="130"/>
      <c r="B118" s="131"/>
      <c r="C118" s="204"/>
      <c r="D118" s="204"/>
      <c r="E118" s="204"/>
      <c r="F118" s="132"/>
      <c r="G118" s="215"/>
      <c r="H118" s="123"/>
    </row>
    <row r="119" spans="1:8" ht="17.25" thickBot="1" thickTop="1">
      <c r="A119" s="141" t="s">
        <v>14</v>
      </c>
      <c r="B119" s="142"/>
      <c r="C119" s="206">
        <f>SUM(C107:C118)</f>
        <v>129671039</v>
      </c>
      <c r="D119" s="206">
        <f>SUM(D107:D118)</f>
        <v>25068168.049999997</v>
      </c>
      <c r="E119" s="206">
        <f>SUM(E107:E118)</f>
        <v>28034998.97</v>
      </c>
      <c r="F119" s="143">
        <f>(+D119-E119)/E119</f>
        <v>-0.10582596857502227</v>
      </c>
      <c r="G119" s="217">
        <f>D119/C119</f>
        <v>0.19332125541154951</v>
      </c>
      <c r="H119" s="123"/>
    </row>
    <row r="120" spans="1:8" ht="15.75" customHeight="1" thickTop="1">
      <c r="A120" s="138"/>
      <c r="B120" s="139"/>
      <c r="C120" s="205"/>
      <c r="D120" s="205"/>
      <c r="E120" s="205"/>
      <c r="F120" s="140"/>
      <c r="G120" s="216"/>
      <c r="H120" s="123"/>
    </row>
    <row r="121" spans="1:8" ht="15.75">
      <c r="A121" s="130" t="s">
        <v>18</v>
      </c>
      <c r="B121" s="131">
        <f>DATE(2014,7,1)</f>
        <v>41821</v>
      </c>
      <c r="C121" s="204">
        <v>8409590</v>
      </c>
      <c r="D121" s="204">
        <v>1710881</v>
      </c>
      <c r="E121" s="204">
        <v>2139547</v>
      </c>
      <c r="F121" s="132">
        <f aca="true" t="shared" si="16" ref="F121:F131">(+D121-E121)/E121</f>
        <v>-0.2003536262582687</v>
      </c>
      <c r="G121" s="215">
        <f aca="true" t="shared" si="17" ref="G121:G131">D121/C121</f>
        <v>0.2034440442399689</v>
      </c>
      <c r="H121" s="123"/>
    </row>
    <row r="122" spans="1:8" ht="15.75">
      <c r="A122" s="130"/>
      <c r="B122" s="131">
        <f>DATE(2014,8,1)</f>
        <v>41852</v>
      </c>
      <c r="C122" s="204">
        <v>8842004</v>
      </c>
      <c r="D122" s="204">
        <v>2016444</v>
      </c>
      <c r="E122" s="204">
        <v>1918123.5</v>
      </c>
      <c r="F122" s="132">
        <f t="shared" si="16"/>
        <v>0.0512586911113909</v>
      </c>
      <c r="G122" s="215">
        <f t="shared" si="17"/>
        <v>0.22805282603355528</v>
      </c>
      <c r="H122" s="123"/>
    </row>
    <row r="123" spans="1:8" ht="15.75">
      <c r="A123" s="130"/>
      <c r="B123" s="131">
        <f>DATE(2014,9,1)</f>
        <v>41883</v>
      </c>
      <c r="C123" s="204">
        <v>8323348.5</v>
      </c>
      <c r="D123" s="204">
        <v>1741477</v>
      </c>
      <c r="E123" s="204">
        <v>1434018</v>
      </c>
      <c r="F123" s="132">
        <f t="shared" si="16"/>
        <v>0.21440386382876644</v>
      </c>
      <c r="G123" s="215">
        <f t="shared" si="17"/>
        <v>0.20922793272443177</v>
      </c>
      <c r="H123" s="123"/>
    </row>
    <row r="124" spans="1:8" ht="15.75">
      <c r="A124" s="130"/>
      <c r="B124" s="131">
        <f>DATE(2014,10,1)</f>
        <v>41913</v>
      </c>
      <c r="C124" s="204">
        <v>8462735</v>
      </c>
      <c r="D124" s="204">
        <v>2135188.5</v>
      </c>
      <c r="E124" s="204">
        <v>1987279.5</v>
      </c>
      <c r="F124" s="132">
        <f t="shared" si="16"/>
        <v>0.07442787992328205</v>
      </c>
      <c r="G124" s="215">
        <f t="shared" si="17"/>
        <v>0.25230478090120984</v>
      </c>
      <c r="H124" s="123"/>
    </row>
    <row r="125" spans="1:8" ht="15.75">
      <c r="A125" s="130"/>
      <c r="B125" s="131">
        <f>DATE(2014,11,1)</f>
        <v>41944</v>
      </c>
      <c r="C125" s="204">
        <v>8439358</v>
      </c>
      <c r="D125" s="204">
        <v>2079297.5</v>
      </c>
      <c r="E125" s="204">
        <v>1974557.5</v>
      </c>
      <c r="F125" s="132">
        <f t="shared" si="16"/>
        <v>0.053044796112546734</v>
      </c>
      <c r="G125" s="215">
        <f t="shared" si="17"/>
        <v>0.24638100433705976</v>
      </c>
      <c r="H125" s="123"/>
    </row>
    <row r="126" spans="1:8" ht="15.75">
      <c r="A126" s="130"/>
      <c r="B126" s="131">
        <f>DATE(2014,12,1)</f>
        <v>41974</v>
      </c>
      <c r="C126" s="204">
        <v>9065436.75</v>
      </c>
      <c r="D126" s="204">
        <v>1998357.25</v>
      </c>
      <c r="E126" s="204">
        <v>1818724</v>
      </c>
      <c r="F126" s="132">
        <f t="shared" si="16"/>
        <v>0.09876883463351228</v>
      </c>
      <c r="G126" s="215">
        <f t="shared" si="17"/>
        <v>0.22043695247225678</v>
      </c>
      <c r="H126" s="123"/>
    </row>
    <row r="127" spans="1:8" ht="15.75">
      <c r="A127" s="130"/>
      <c r="B127" s="131">
        <f>DATE(2015,1,1)</f>
        <v>42005</v>
      </c>
      <c r="C127" s="204">
        <v>9260495</v>
      </c>
      <c r="D127" s="204">
        <v>2020720</v>
      </c>
      <c r="E127" s="204">
        <v>1835740</v>
      </c>
      <c r="F127" s="132">
        <f t="shared" si="16"/>
        <v>0.10076590366827547</v>
      </c>
      <c r="G127" s="215">
        <f t="shared" si="17"/>
        <v>0.21820863787518918</v>
      </c>
      <c r="H127" s="123"/>
    </row>
    <row r="128" spans="1:8" ht="15.75">
      <c r="A128" s="130"/>
      <c r="B128" s="131">
        <f>DATE(2015,2,1)</f>
        <v>42036</v>
      </c>
      <c r="C128" s="204">
        <v>9907841</v>
      </c>
      <c r="D128" s="204">
        <v>2216560</v>
      </c>
      <c r="E128" s="204">
        <v>1916892</v>
      </c>
      <c r="F128" s="132">
        <f t="shared" si="16"/>
        <v>0.15633014275191298</v>
      </c>
      <c r="G128" s="215">
        <f t="shared" si="17"/>
        <v>0.2237177605090756</v>
      </c>
      <c r="H128" s="123"/>
    </row>
    <row r="129" spans="1:8" ht="15.75">
      <c r="A129" s="130"/>
      <c r="B129" s="131">
        <f>DATE(2015,3,1)</f>
        <v>42064</v>
      </c>
      <c r="C129" s="204">
        <v>12060555</v>
      </c>
      <c r="D129" s="204">
        <v>2870936.5</v>
      </c>
      <c r="E129" s="204">
        <v>1810089</v>
      </c>
      <c r="F129" s="132">
        <f t="shared" si="16"/>
        <v>0.5860747731188909</v>
      </c>
      <c r="G129" s="215">
        <f t="shared" si="17"/>
        <v>0.23804348141524168</v>
      </c>
      <c r="H129" s="123"/>
    </row>
    <row r="130" spans="1:8" ht="15.75">
      <c r="A130" s="130"/>
      <c r="B130" s="131">
        <f>DATE(2015,4,1)</f>
        <v>42095</v>
      </c>
      <c r="C130" s="204">
        <v>9875536.5</v>
      </c>
      <c r="D130" s="204">
        <v>2333617.5</v>
      </c>
      <c r="E130" s="204">
        <v>1709184</v>
      </c>
      <c r="F130" s="132">
        <f t="shared" si="16"/>
        <v>0.36534012721860254</v>
      </c>
      <c r="G130" s="215">
        <f t="shared" si="17"/>
        <v>0.23630285807763457</v>
      </c>
      <c r="H130" s="123"/>
    </row>
    <row r="131" spans="1:8" ht="15.75">
      <c r="A131" s="130"/>
      <c r="B131" s="131">
        <f>DATE(2015,5,1)</f>
        <v>42125</v>
      </c>
      <c r="C131" s="204">
        <v>11156527</v>
      </c>
      <c r="D131" s="204">
        <v>2324758.5</v>
      </c>
      <c r="E131" s="204">
        <v>2320913.5</v>
      </c>
      <c r="F131" s="132">
        <f t="shared" si="16"/>
        <v>0.0016566752703192085</v>
      </c>
      <c r="G131" s="215">
        <f t="shared" si="17"/>
        <v>0.20837654047715745</v>
      </c>
      <c r="H131" s="123"/>
    </row>
    <row r="132" spans="1:8" ht="15.75" customHeight="1" thickBot="1">
      <c r="A132" s="130"/>
      <c r="B132" s="131"/>
      <c r="C132" s="204"/>
      <c r="D132" s="204"/>
      <c r="E132" s="204"/>
      <c r="F132" s="132"/>
      <c r="G132" s="215"/>
      <c r="H132" s="123"/>
    </row>
    <row r="133" spans="1:8" ht="17.25" thickBot="1" thickTop="1">
      <c r="A133" s="141" t="s">
        <v>14</v>
      </c>
      <c r="B133" s="142"/>
      <c r="C133" s="206">
        <f>SUM(C121:C132)</f>
        <v>103803426.75</v>
      </c>
      <c r="D133" s="206">
        <f>SUM(D121:D132)</f>
        <v>23448237.75</v>
      </c>
      <c r="E133" s="206">
        <f>SUM(E121:E132)</f>
        <v>20865068</v>
      </c>
      <c r="F133" s="143">
        <f>(+D133-E133)/E133</f>
        <v>0.12380356249018695</v>
      </c>
      <c r="G133" s="217">
        <f>D133/C133</f>
        <v>0.2258907868858</v>
      </c>
      <c r="H133" s="123"/>
    </row>
    <row r="134" spans="1:8" ht="15.75" customHeight="1" thickTop="1">
      <c r="A134" s="138"/>
      <c r="B134" s="139"/>
      <c r="C134" s="205"/>
      <c r="D134" s="205"/>
      <c r="E134" s="205"/>
      <c r="F134" s="140"/>
      <c r="G134" s="216"/>
      <c r="H134" s="123"/>
    </row>
    <row r="135" spans="1:8" ht="15.75">
      <c r="A135" s="130" t="s">
        <v>58</v>
      </c>
      <c r="B135" s="131">
        <f>DATE(2014,7,1)</f>
        <v>41821</v>
      </c>
      <c r="C135" s="204">
        <v>8964729</v>
      </c>
      <c r="D135" s="204">
        <v>1919455.5</v>
      </c>
      <c r="E135" s="204">
        <v>1531315.5</v>
      </c>
      <c r="F135" s="132">
        <f aca="true" t="shared" si="18" ref="F135:F145">(+D135-E135)/E135</f>
        <v>0.2534683414358439</v>
      </c>
      <c r="G135" s="215">
        <f aca="true" t="shared" si="19" ref="G135:G145">D135/C135</f>
        <v>0.21411193801842754</v>
      </c>
      <c r="H135" s="123"/>
    </row>
    <row r="136" spans="1:8" ht="15.75">
      <c r="A136" s="130"/>
      <c r="B136" s="131">
        <f>DATE(2014,8,1)</f>
        <v>41852</v>
      </c>
      <c r="C136" s="204">
        <v>9092674</v>
      </c>
      <c r="D136" s="204">
        <v>1923950.5</v>
      </c>
      <c r="E136" s="204">
        <v>1844528.75</v>
      </c>
      <c r="F136" s="132">
        <f t="shared" si="18"/>
        <v>0.0430580168511876</v>
      </c>
      <c r="G136" s="215">
        <f t="shared" si="19"/>
        <v>0.21159347624252228</v>
      </c>
      <c r="H136" s="123"/>
    </row>
    <row r="137" spans="1:8" ht="15.75">
      <c r="A137" s="130"/>
      <c r="B137" s="131">
        <f>DATE(2014,9,1)</f>
        <v>41883</v>
      </c>
      <c r="C137" s="204">
        <v>8203052.5</v>
      </c>
      <c r="D137" s="204">
        <v>2150849.5</v>
      </c>
      <c r="E137" s="204">
        <v>1674570</v>
      </c>
      <c r="F137" s="132">
        <f t="shared" si="18"/>
        <v>0.2844189851723129</v>
      </c>
      <c r="G137" s="215">
        <f t="shared" si="19"/>
        <v>0.26220111354888925</v>
      </c>
      <c r="H137" s="123"/>
    </row>
    <row r="138" spans="1:8" ht="15.75">
      <c r="A138" s="130"/>
      <c r="B138" s="131">
        <f>DATE(2014,10,1)</f>
        <v>41913</v>
      </c>
      <c r="C138" s="204">
        <v>8717437</v>
      </c>
      <c r="D138" s="204">
        <v>1663467.5</v>
      </c>
      <c r="E138" s="204">
        <v>1767609</v>
      </c>
      <c r="F138" s="132">
        <f t="shared" si="18"/>
        <v>-0.058916592979556</v>
      </c>
      <c r="G138" s="215">
        <f t="shared" si="19"/>
        <v>0.19082070796726147</v>
      </c>
      <c r="H138" s="123"/>
    </row>
    <row r="139" spans="1:8" ht="15.75">
      <c r="A139" s="130"/>
      <c r="B139" s="131">
        <f>DATE(2014,11,1)</f>
        <v>41944</v>
      </c>
      <c r="C139" s="204">
        <v>9424612</v>
      </c>
      <c r="D139" s="204">
        <v>1870760.5</v>
      </c>
      <c r="E139" s="204">
        <v>2709472</v>
      </c>
      <c r="F139" s="132">
        <f t="shared" si="18"/>
        <v>-0.30954794882545383</v>
      </c>
      <c r="G139" s="215">
        <f t="shared" si="19"/>
        <v>0.19849734928079799</v>
      </c>
      <c r="H139" s="123"/>
    </row>
    <row r="140" spans="1:8" ht="15.75">
      <c r="A140" s="130"/>
      <c r="B140" s="131">
        <f>DATE(2014,12,1)</f>
        <v>41974</v>
      </c>
      <c r="C140" s="204">
        <v>10518722.5</v>
      </c>
      <c r="D140" s="204">
        <v>2246516</v>
      </c>
      <c r="E140" s="204">
        <v>2234533.5</v>
      </c>
      <c r="F140" s="132">
        <f t="shared" si="18"/>
        <v>0.005362416808698549</v>
      </c>
      <c r="G140" s="215">
        <f t="shared" si="19"/>
        <v>0.21357308361352817</v>
      </c>
      <c r="H140" s="123"/>
    </row>
    <row r="141" spans="1:8" ht="15.75">
      <c r="A141" s="130"/>
      <c r="B141" s="131">
        <f>DATE(2015,1,1)</f>
        <v>42005</v>
      </c>
      <c r="C141" s="204">
        <v>9743597.5</v>
      </c>
      <c r="D141" s="204">
        <v>1838020</v>
      </c>
      <c r="E141" s="204">
        <v>1662047.5</v>
      </c>
      <c r="F141" s="132">
        <f t="shared" si="18"/>
        <v>0.10587693793348264</v>
      </c>
      <c r="G141" s="215">
        <f t="shared" si="19"/>
        <v>0.18863874457047308</v>
      </c>
      <c r="H141" s="123"/>
    </row>
    <row r="142" spans="1:8" ht="15.75">
      <c r="A142" s="130"/>
      <c r="B142" s="131">
        <f>DATE(2015,2,1)</f>
        <v>42036</v>
      </c>
      <c r="C142" s="204">
        <v>9436500</v>
      </c>
      <c r="D142" s="204">
        <v>1919498</v>
      </c>
      <c r="E142" s="204">
        <v>1632886</v>
      </c>
      <c r="F142" s="132">
        <f t="shared" si="18"/>
        <v>0.17552480699816153</v>
      </c>
      <c r="G142" s="215">
        <f t="shared" si="19"/>
        <v>0.20341207015312882</v>
      </c>
      <c r="H142" s="123"/>
    </row>
    <row r="143" spans="1:8" ht="15.75">
      <c r="A143" s="130"/>
      <c r="B143" s="131">
        <f>DATE(2015,3,1)</f>
        <v>42064</v>
      </c>
      <c r="C143" s="204">
        <v>11321414</v>
      </c>
      <c r="D143" s="204">
        <v>2022840</v>
      </c>
      <c r="E143" s="204">
        <v>2170686</v>
      </c>
      <c r="F143" s="132">
        <f t="shared" si="18"/>
        <v>-0.06811026560267124</v>
      </c>
      <c r="G143" s="215">
        <f t="shared" si="19"/>
        <v>0.17867379463377983</v>
      </c>
      <c r="H143" s="123"/>
    </row>
    <row r="144" spans="1:8" ht="15.75">
      <c r="A144" s="130"/>
      <c r="B144" s="131">
        <f>DATE(2015,4,1)</f>
        <v>42095</v>
      </c>
      <c r="C144" s="204">
        <v>12196550.5</v>
      </c>
      <c r="D144" s="204">
        <v>2548306.5</v>
      </c>
      <c r="E144" s="204">
        <v>1918908</v>
      </c>
      <c r="F144" s="132">
        <f t="shared" si="18"/>
        <v>0.32799826776479124</v>
      </c>
      <c r="G144" s="215">
        <f t="shared" si="19"/>
        <v>0.20893665795095095</v>
      </c>
      <c r="H144" s="123"/>
    </row>
    <row r="145" spans="1:8" ht="15.75">
      <c r="A145" s="130"/>
      <c r="B145" s="131">
        <f>DATE(2015,5,1)</f>
        <v>42125</v>
      </c>
      <c r="C145" s="204">
        <v>11194581.5</v>
      </c>
      <c r="D145" s="204">
        <v>2287316</v>
      </c>
      <c r="E145" s="204">
        <v>2119221.51</v>
      </c>
      <c r="F145" s="132">
        <f t="shared" si="18"/>
        <v>0.07931898067606923</v>
      </c>
      <c r="G145" s="215">
        <f t="shared" si="19"/>
        <v>0.20432349346869286</v>
      </c>
      <c r="H145" s="123"/>
    </row>
    <row r="146" spans="1:8" ht="15.75" thickBot="1">
      <c r="A146" s="133"/>
      <c r="B146" s="131"/>
      <c r="C146" s="204"/>
      <c r="D146" s="204"/>
      <c r="E146" s="204"/>
      <c r="F146" s="132"/>
      <c r="G146" s="215"/>
      <c r="H146" s="123"/>
    </row>
    <row r="147" spans="1:8" ht="17.25" thickBot="1" thickTop="1">
      <c r="A147" s="141" t="s">
        <v>14</v>
      </c>
      <c r="B147" s="142"/>
      <c r="C147" s="207">
        <f>SUM(C135:C146)</f>
        <v>108813870.5</v>
      </c>
      <c r="D147" s="207">
        <f>SUM(D135:D146)</f>
        <v>22390980</v>
      </c>
      <c r="E147" s="207">
        <f>SUM(E135:E146)</f>
        <v>21265777.759999998</v>
      </c>
      <c r="F147" s="143">
        <f>(+D147-E147)/E147</f>
        <v>0.05291140783557226</v>
      </c>
      <c r="G147" s="269">
        <f>D147/C147</f>
        <v>0.2057732152814103</v>
      </c>
      <c r="H147" s="123"/>
    </row>
    <row r="148" spans="1:8" ht="15.75" customHeight="1" thickTop="1">
      <c r="A148" s="138"/>
      <c r="B148" s="139"/>
      <c r="C148" s="205"/>
      <c r="D148" s="205"/>
      <c r="E148" s="205"/>
      <c r="F148" s="140"/>
      <c r="G148" s="219"/>
      <c r="H148" s="123"/>
    </row>
    <row r="149" spans="1:8" ht="15.75">
      <c r="A149" s="130" t="s">
        <v>59</v>
      </c>
      <c r="B149" s="131">
        <f>DATE(2014,7,1)</f>
        <v>41821</v>
      </c>
      <c r="C149" s="204">
        <v>854553</v>
      </c>
      <c r="D149" s="204">
        <v>194050.5</v>
      </c>
      <c r="E149" s="204">
        <v>203697.5</v>
      </c>
      <c r="F149" s="132">
        <f aca="true" t="shared" si="20" ref="F149:F159">(+D149-E149)/E149</f>
        <v>-0.04735944231028854</v>
      </c>
      <c r="G149" s="215">
        <f aca="true" t="shared" si="21" ref="G149:G159">D149/C149</f>
        <v>0.22707836728675693</v>
      </c>
      <c r="H149" s="123"/>
    </row>
    <row r="150" spans="1:8" ht="15.75">
      <c r="A150" s="130"/>
      <c r="B150" s="131">
        <f>DATE(2014,8,1)</f>
        <v>41852</v>
      </c>
      <c r="C150" s="204">
        <v>910042</v>
      </c>
      <c r="D150" s="204">
        <v>244997</v>
      </c>
      <c r="E150" s="204">
        <v>190431</v>
      </c>
      <c r="F150" s="132">
        <f t="shared" si="20"/>
        <v>0.286539481491984</v>
      </c>
      <c r="G150" s="215">
        <f t="shared" si="21"/>
        <v>0.2692150472176009</v>
      </c>
      <c r="H150" s="123"/>
    </row>
    <row r="151" spans="1:8" ht="15.75">
      <c r="A151" s="130"/>
      <c r="B151" s="131">
        <f>DATE(2014,9,1)</f>
        <v>41883</v>
      </c>
      <c r="C151" s="204">
        <v>859592</v>
      </c>
      <c r="D151" s="204">
        <v>142249.5</v>
      </c>
      <c r="E151" s="204">
        <v>231071.5</v>
      </c>
      <c r="F151" s="132">
        <f t="shared" si="20"/>
        <v>-0.38439184408289206</v>
      </c>
      <c r="G151" s="215">
        <f t="shared" si="21"/>
        <v>0.16548490446630496</v>
      </c>
      <c r="H151" s="123"/>
    </row>
    <row r="152" spans="1:8" ht="15.75">
      <c r="A152" s="130"/>
      <c r="B152" s="131">
        <f>DATE(2014,10,1)</f>
        <v>41913</v>
      </c>
      <c r="C152" s="204">
        <v>979922</v>
      </c>
      <c r="D152" s="204">
        <v>203528</v>
      </c>
      <c r="E152" s="204">
        <v>208717.5</v>
      </c>
      <c r="F152" s="132">
        <f t="shared" si="20"/>
        <v>-0.024863751242708447</v>
      </c>
      <c r="G152" s="215">
        <f t="shared" si="21"/>
        <v>0.20769816373139902</v>
      </c>
      <c r="H152" s="123"/>
    </row>
    <row r="153" spans="1:8" ht="15.75">
      <c r="A153" s="130"/>
      <c r="B153" s="131">
        <f>DATE(2014,11,1)</f>
        <v>41944</v>
      </c>
      <c r="C153" s="204">
        <v>943248</v>
      </c>
      <c r="D153" s="204">
        <v>229154.5</v>
      </c>
      <c r="E153" s="204">
        <v>270575</v>
      </c>
      <c r="F153" s="132">
        <f t="shared" si="20"/>
        <v>-0.1530832486371616</v>
      </c>
      <c r="G153" s="215">
        <f t="shared" si="21"/>
        <v>0.24294194103777586</v>
      </c>
      <c r="H153" s="123"/>
    </row>
    <row r="154" spans="1:8" ht="15.75">
      <c r="A154" s="130"/>
      <c r="B154" s="131">
        <f>DATE(2014,12,1)</f>
        <v>41974</v>
      </c>
      <c r="C154" s="204">
        <v>1004925</v>
      </c>
      <c r="D154" s="204">
        <v>204682</v>
      </c>
      <c r="E154" s="204">
        <v>271825.75</v>
      </c>
      <c r="F154" s="132">
        <f t="shared" si="20"/>
        <v>-0.24701026300856338</v>
      </c>
      <c r="G154" s="215">
        <f t="shared" si="21"/>
        <v>0.2036788815085703</v>
      </c>
      <c r="H154" s="123"/>
    </row>
    <row r="155" spans="1:8" ht="15.75">
      <c r="A155" s="130"/>
      <c r="B155" s="131">
        <f>DATE(2015,1,1)</f>
        <v>42005</v>
      </c>
      <c r="C155" s="204">
        <v>863710</v>
      </c>
      <c r="D155" s="204">
        <v>205359</v>
      </c>
      <c r="E155" s="204">
        <v>242023</v>
      </c>
      <c r="F155" s="132">
        <f t="shared" si="20"/>
        <v>-0.15148973444672614</v>
      </c>
      <c r="G155" s="215">
        <f t="shared" si="21"/>
        <v>0.23776383276794294</v>
      </c>
      <c r="H155" s="123"/>
    </row>
    <row r="156" spans="1:8" ht="15.75">
      <c r="A156" s="130"/>
      <c r="B156" s="131">
        <f>DATE(2015,2,1)</f>
        <v>42036</v>
      </c>
      <c r="C156" s="204">
        <v>824539</v>
      </c>
      <c r="D156" s="204">
        <v>174316.5</v>
      </c>
      <c r="E156" s="204">
        <v>197255</v>
      </c>
      <c r="F156" s="132">
        <f t="shared" si="20"/>
        <v>-0.11628856049276318</v>
      </c>
      <c r="G156" s="215">
        <f t="shared" si="21"/>
        <v>0.2114108610993537</v>
      </c>
      <c r="H156" s="123"/>
    </row>
    <row r="157" spans="1:8" ht="15.75">
      <c r="A157" s="130"/>
      <c r="B157" s="131">
        <f>DATE(2015,3,1)</f>
        <v>42064</v>
      </c>
      <c r="C157" s="204">
        <v>1095099</v>
      </c>
      <c r="D157" s="204">
        <v>224042</v>
      </c>
      <c r="E157" s="204">
        <v>240152</v>
      </c>
      <c r="F157" s="132">
        <f t="shared" si="20"/>
        <v>-0.06708251440754188</v>
      </c>
      <c r="G157" s="215">
        <f t="shared" si="21"/>
        <v>0.20458606938733392</v>
      </c>
      <c r="H157" s="123"/>
    </row>
    <row r="158" spans="1:8" ht="15.75">
      <c r="A158" s="130"/>
      <c r="B158" s="131">
        <f>DATE(2015,4,1)</f>
        <v>42095</v>
      </c>
      <c r="C158" s="204">
        <v>916329.5</v>
      </c>
      <c r="D158" s="204">
        <v>266395</v>
      </c>
      <c r="E158" s="204">
        <v>189622</v>
      </c>
      <c r="F158" s="132">
        <f t="shared" si="20"/>
        <v>0.40487390703610343</v>
      </c>
      <c r="G158" s="215">
        <f t="shared" si="21"/>
        <v>0.2907196592492111</v>
      </c>
      <c r="H158" s="123"/>
    </row>
    <row r="159" spans="1:8" ht="15.75">
      <c r="A159" s="130"/>
      <c r="B159" s="131">
        <f>DATE(2015,5,1)</f>
        <v>42125</v>
      </c>
      <c r="C159" s="204">
        <v>997701</v>
      </c>
      <c r="D159" s="204">
        <v>261101.5</v>
      </c>
      <c r="E159" s="204">
        <v>272972.5</v>
      </c>
      <c r="F159" s="132">
        <f t="shared" si="20"/>
        <v>-0.04348789713249503</v>
      </c>
      <c r="G159" s="215">
        <f t="shared" si="21"/>
        <v>0.2617031555546201</v>
      </c>
      <c r="H159" s="123"/>
    </row>
    <row r="160" spans="1:8" ht="15.75" thickBot="1">
      <c r="A160" s="133"/>
      <c r="B160" s="134"/>
      <c r="C160" s="204"/>
      <c r="D160" s="204"/>
      <c r="E160" s="204"/>
      <c r="F160" s="132"/>
      <c r="G160" s="215"/>
      <c r="H160" s="123"/>
    </row>
    <row r="161" spans="1:8" ht="17.25" thickBot="1" thickTop="1">
      <c r="A161" s="144" t="s">
        <v>14</v>
      </c>
      <c r="B161" s="145"/>
      <c r="C161" s="207">
        <f>SUM(C149:C160)</f>
        <v>10249660.5</v>
      </c>
      <c r="D161" s="207">
        <f>SUM(D149:D160)</f>
        <v>2349875.5</v>
      </c>
      <c r="E161" s="207">
        <f>SUM(E149:E160)</f>
        <v>2518342.75</v>
      </c>
      <c r="F161" s="143">
        <f>(+D161-E161)/E161</f>
        <v>-0.06689607679494779</v>
      </c>
      <c r="G161" s="217">
        <f>D161/C161</f>
        <v>0.22926374000387623</v>
      </c>
      <c r="H161" s="123"/>
    </row>
    <row r="162" spans="1:8" ht="15.75" customHeight="1" thickTop="1">
      <c r="A162" s="130"/>
      <c r="B162" s="134"/>
      <c r="C162" s="204"/>
      <c r="D162" s="204"/>
      <c r="E162" s="204"/>
      <c r="F162" s="132"/>
      <c r="G162" s="218"/>
      <c r="H162" s="123"/>
    </row>
    <row r="163" spans="1:8" ht="15.75">
      <c r="A163" s="130" t="s">
        <v>40</v>
      </c>
      <c r="B163" s="131">
        <f>DATE(2014,7,1)</f>
        <v>41821</v>
      </c>
      <c r="C163" s="204">
        <v>12198935</v>
      </c>
      <c r="D163" s="204">
        <v>2630944</v>
      </c>
      <c r="E163" s="204">
        <v>2227589.5</v>
      </c>
      <c r="F163" s="132">
        <f aca="true" t="shared" si="22" ref="F163:F173">(+D163-E163)/E163</f>
        <v>0.18107218587625773</v>
      </c>
      <c r="G163" s="215">
        <f aca="true" t="shared" si="23" ref="G163:G173">D163/C163</f>
        <v>0.21566997446908276</v>
      </c>
      <c r="H163" s="123"/>
    </row>
    <row r="164" spans="1:8" ht="15.75">
      <c r="A164" s="130"/>
      <c r="B164" s="131">
        <f>DATE(2014,8,1)</f>
        <v>41852</v>
      </c>
      <c r="C164" s="204">
        <v>13151605</v>
      </c>
      <c r="D164" s="204">
        <v>2671558</v>
      </c>
      <c r="E164" s="204">
        <v>2324049.9</v>
      </c>
      <c r="F164" s="132">
        <f t="shared" si="22"/>
        <v>0.1495269529281622</v>
      </c>
      <c r="G164" s="215">
        <f t="shared" si="23"/>
        <v>0.20313551083689024</v>
      </c>
      <c r="H164" s="123"/>
    </row>
    <row r="165" spans="1:8" ht="15.75">
      <c r="A165" s="130"/>
      <c r="B165" s="131">
        <f>DATE(2014,9,1)</f>
        <v>41883</v>
      </c>
      <c r="C165" s="204">
        <v>12494088</v>
      </c>
      <c r="D165" s="204">
        <v>2695451</v>
      </c>
      <c r="E165" s="204">
        <v>1889804.5</v>
      </c>
      <c r="F165" s="132">
        <f t="shared" si="22"/>
        <v>0.42631208677934673</v>
      </c>
      <c r="G165" s="215">
        <f t="shared" si="23"/>
        <v>0.21573811549910646</v>
      </c>
      <c r="H165" s="123"/>
    </row>
    <row r="166" spans="1:8" ht="15.75">
      <c r="A166" s="130"/>
      <c r="B166" s="131">
        <f>DATE(2014,10,1)</f>
        <v>41913</v>
      </c>
      <c r="C166" s="204">
        <v>15034530</v>
      </c>
      <c r="D166" s="204">
        <v>2840403</v>
      </c>
      <c r="E166" s="204">
        <v>1892475</v>
      </c>
      <c r="F166" s="132">
        <f t="shared" si="22"/>
        <v>0.5008932746799826</v>
      </c>
      <c r="G166" s="215">
        <f t="shared" si="23"/>
        <v>0.1889252939732735</v>
      </c>
      <c r="H166" s="123"/>
    </row>
    <row r="167" spans="1:8" ht="15.75">
      <c r="A167" s="130"/>
      <c r="B167" s="131">
        <f>DATE(2014,11,1)</f>
        <v>41944</v>
      </c>
      <c r="C167" s="204">
        <v>12989637</v>
      </c>
      <c r="D167" s="204">
        <v>2781702</v>
      </c>
      <c r="E167" s="204">
        <v>2298940</v>
      </c>
      <c r="F167" s="132">
        <f t="shared" si="22"/>
        <v>0.20999330126058097</v>
      </c>
      <c r="G167" s="215">
        <f t="shared" si="23"/>
        <v>0.21414778565405637</v>
      </c>
      <c r="H167" s="123"/>
    </row>
    <row r="168" spans="1:8" ht="15.75">
      <c r="A168" s="130"/>
      <c r="B168" s="131">
        <f>DATE(2014,12,1)</f>
        <v>41974</v>
      </c>
      <c r="C168" s="204">
        <v>13724186</v>
      </c>
      <c r="D168" s="204">
        <v>2990638.5</v>
      </c>
      <c r="E168" s="204">
        <v>2113873.5</v>
      </c>
      <c r="F168" s="132">
        <f t="shared" si="22"/>
        <v>0.4147670142040193</v>
      </c>
      <c r="G168" s="215">
        <f t="shared" si="23"/>
        <v>0.2179100822445863</v>
      </c>
      <c r="H168" s="123"/>
    </row>
    <row r="169" spans="1:8" ht="15.75">
      <c r="A169" s="130"/>
      <c r="B169" s="131">
        <f>DATE(2015,1,1)</f>
        <v>42005</v>
      </c>
      <c r="C169" s="204">
        <v>12837916</v>
      </c>
      <c r="D169" s="204">
        <v>2785863.5</v>
      </c>
      <c r="E169" s="204">
        <v>1789378.5</v>
      </c>
      <c r="F169" s="132">
        <f t="shared" si="22"/>
        <v>0.556888886280907</v>
      </c>
      <c r="G169" s="215">
        <f t="shared" si="23"/>
        <v>0.21700278300621378</v>
      </c>
      <c r="H169" s="123"/>
    </row>
    <row r="170" spans="1:8" ht="15.75">
      <c r="A170" s="130"/>
      <c r="B170" s="131">
        <f>DATE(2015,2,1)</f>
        <v>42036</v>
      </c>
      <c r="C170" s="204">
        <v>12150305</v>
      </c>
      <c r="D170" s="204">
        <v>2936954.5</v>
      </c>
      <c r="E170" s="204">
        <v>2017621.75</v>
      </c>
      <c r="F170" s="132">
        <f t="shared" si="22"/>
        <v>0.45565168496027564</v>
      </c>
      <c r="G170" s="215">
        <f t="shared" si="23"/>
        <v>0.2417185823730351</v>
      </c>
      <c r="H170" s="123"/>
    </row>
    <row r="171" spans="1:8" ht="15.75">
      <c r="A171" s="130"/>
      <c r="B171" s="131">
        <f>DATE(2015,3,1)</f>
        <v>42064</v>
      </c>
      <c r="C171" s="204">
        <v>14258245</v>
      </c>
      <c r="D171" s="204">
        <v>3076007.3</v>
      </c>
      <c r="E171" s="204">
        <v>2371964</v>
      </c>
      <c r="F171" s="132">
        <f t="shared" si="22"/>
        <v>0.2968187122570156</v>
      </c>
      <c r="G171" s="215">
        <f t="shared" si="23"/>
        <v>0.21573533769408507</v>
      </c>
      <c r="H171" s="123"/>
    </row>
    <row r="172" spans="1:8" ht="15.75">
      <c r="A172" s="130"/>
      <c r="B172" s="131">
        <f>DATE(2015,4,1)</f>
        <v>42095</v>
      </c>
      <c r="C172" s="204">
        <v>13383345</v>
      </c>
      <c r="D172" s="204">
        <v>2662605.8</v>
      </c>
      <c r="E172" s="204">
        <v>2582090.2</v>
      </c>
      <c r="F172" s="132">
        <f t="shared" si="22"/>
        <v>0.031182334373911345</v>
      </c>
      <c r="G172" s="215">
        <f t="shared" si="23"/>
        <v>0.1989492014141457</v>
      </c>
      <c r="H172" s="123"/>
    </row>
    <row r="173" spans="1:8" ht="15.75">
      <c r="A173" s="130"/>
      <c r="B173" s="131">
        <f>DATE(2015,5,1)</f>
        <v>42125</v>
      </c>
      <c r="C173" s="204">
        <v>13942865</v>
      </c>
      <c r="D173" s="204">
        <v>2682695.5</v>
      </c>
      <c r="E173" s="204">
        <v>2185935.5</v>
      </c>
      <c r="F173" s="132">
        <f t="shared" si="22"/>
        <v>0.2272528169289533</v>
      </c>
      <c r="G173" s="215">
        <f t="shared" si="23"/>
        <v>0.19240633112348143</v>
      </c>
      <c r="H173" s="123"/>
    </row>
    <row r="174" spans="1:8" ht="15.75" thickBot="1">
      <c r="A174" s="133"/>
      <c r="B174" s="134"/>
      <c r="C174" s="204"/>
      <c r="D174" s="204"/>
      <c r="E174" s="204"/>
      <c r="F174" s="132"/>
      <c r="G174" s="215"/>
      <c r="H174" s="123"/>
    </row>
    <row r="175" spans="1:8" ht="17.25" thickBot="1" thickTop="1">
      <c r="A175" s="141" t="s">
        <v>14</v>
      </c>
      <c r="B175" s="142"/>
      <c r="C175" s="206">
        <f>SUM(C163:C174)</f>
        <v>146165657</v>
      </c>
      <c r="D175" s="207">
        <f>SUM(D163:D174)</f>
        <v>30754823.1</v>
      </c>
      <c r="E175" s="206">
        <f>SUM(E163:E174)</f>
        <v>23693722.349999998</v>
      </c>
      <c r="F175" s="143">
        <f>(+D175-E175)/E175</f>
        <v>0.2980156788238892</v>
      </c>
      <c r="G175" s="217">
        <f>D175/C175</f>
        <v>0.21041073348714193</v>
      </c>
      <c r="H175" s="123"/>
    </row>
    <row r="176" spans="1:8" ht="15.75" customHeight="1" thickTop="1">
      <c r="A176" s="130"/>
      <c r="B176" s="134"/>
      <c r="C176" s="204"/>
      <c r="D176" s="204"/>
      <c r="E176" s="204"/>
      <c r="F176" s="132"/>
      <c r="G176" s="218"/>
      <c r="H176" s="123"/>
    </row>
    <row r="177" spans="1:8" ht="15.75">
      <c r="A177" s="130" t="s">
        <v>64</v>
      </c>
      <c r="B177" s="131">
        <f>DATE(2014,7,1)</f>
        <v>41821</v>
      </c>
      <c r="C177" s="204">
        <v>981132</v>
      </c>
      <c r="D177" s="204">
        <v>209226.5</v>
      </c>
      <c r="E177" s="204">
        <v>163354</v>
      </c>
      <c r="F177" s="132">
        <f aca="true" t="shared" si="24" ref="F177:F187">(+D177-E177)/E177</f>
        <v>0.28081650893152293</v>
      </c>
      <c r="G177" s="215">
        <f aca="true" t="shared" si="25" ref="G177:G187">D177/C177</f>
        <v>0.2132501029423156</v>
      </c>
      <c r="H177" s="123"/>
    </row>
    <row r="178" spans="1:8" ht="15.75">
      <c r="A178" s="130"/>
      <c r="B178" s="131">
        <f>DATE(2014,8,1)</f>
        <v>41852</v>
      </c>
      <c r="C178" s="204">
        <v>1032541</v>
      </c>
      <c r="D178" s="204">
        <v>218501</v>
      </c>
      <c r="E178" s="204">
        <v>222733.5</v>
      </c>
      <c r="F178" s="132">
        <f t="shared" si="24"/>
        <v>-0.019002529929265242</v>
      </c>
      <c r="G178" s="215">
        <f t="shared" si="25"/>
        <v>0.2116148414445528</v>
      </c>
      <c r="H178" s="123"/>
    </row>
    <row r="179" spans="1:8" ht="15.75">
      <c r="A179" s="130"/>
      <c r="B179" s="131">
        <f>DATE(2014,9,1)</f>
        <v>41883</v>
      </c>
      <c r="C179" s="204">
        <v>961308</v>
      </c>
      <c r="D179" s="204">
        <v>191716</v>
      </c>
      <c r="E179" s="204">
        <v>198230</v>
      </c>
      <c r="F179" s="132">
        <f t="shared" si="24"/>
        <v>-0.03286081824143672</v>
      </c>
      <c r="G179" s="215">
        <f t="shared" si="25"/>
        <v>0.19943243996721133</v>
      </c>
      <c r="H179" s="123"/>
    </row>
    <row r="180" spans="1:8" ht="15.75">
      <c r="A180" s="130"/>
      <c r="B180" s="131">
        <f>DATE(2014,10,1)</f>
        <v>41913</v>
      </c>
      <c r="C180" s="204">
        <v>961001</v>
      </c>
      <c r="D180" s="204">
        <v>199376.5</v>
      </c>
      <c r="E180" s="204">
        <v>206944</v>
      </c>
      <c r="F180" s="132">
        <f t="shared" si="24"/>
        <v>-0.03656786376990877</v>
      </c>
      <c r="G180" s="215">
        <f t="shared" si="25"/>
        <v>0.20746752604836</v>
      </c>
      <c r="H180" s="123"/>
    </row>
    <row r="181" spans="1:8" ht="15.75">
      <c r="A181" s="130"/>
      <c r="B181" s="131">
        <f>DATE(2014,11,1)</f>
        <v>41944</v>
      </c>
      <c r="C181" s="204">
        <v>1045053</v>
      </c>
      <c r="D181" s="204">
        <v>212572.5</v>
      </c>
      <c r="E181" s="204">
        <v>185684.5</v>
      </c>
      <c r="F181" s="132">
        <f t="shared" si="24"/>
        <v>0.14480476291774488</v>
      </c>
      <c r="G181" s="215">
        <f t="shared" si="25"/>
        <v>0.20340834388303752</v>
      </c>
      <c r="H181" s="123"/>
    </row>
    <row r="182" spans="1:8" ht="15.75">
      <c r="A182" s="130"/>
      <c r="B182" s="131">
        <f>DATE(2014,12,1)</f>
        <v>41974</v>
      </c>
      <c r="C182" s="204">
        <v>1119280</v>
      </c>
      <c r="D182" s="204">
        <v>242239</v>
      </c>
      <c r="E182" s="204">
        <v>155536</v>
      </c>
      <c r="F182" s="132">
        <f t="shared" si="24"/>
        <v>0.5574465075609505</v>
      </c>
      <c r="G182" s="215">
        <f t="shared" si="25"/>
        <v>0.2164239511114288</v>
      </c>
      <c r="H182" s="123"/>
    </row>
    <row r="183" spans="1:8" ht="15.75">
      <c r="A183" s="130"/>
      <c r="B183" s="131">
        <f>DATE(2015,1,1)</f>
        <v>42005</v>
      </c>
      <c r="C183" s="204">
        <v>1002373</v>
      </c>
      <c r="D183" s="204">
        <v>226033.5</v>
      </c>
      <c r="E183" s="204">
        <v>195324</v>
      </c>
      <c r="F183" s="132">
        <f t="shared" si="24"/>
        <v>0.15722338268722738</v>
      </c>
      <c r="G183" s="215">
        <f t="shared" si="25"/>
        <v>0.2254983923150364</v>
      </c>
      <c r="H183" s="123"/>
    </row>
    <row r="184" spans="1:8" ht="15.75">
      <c r="A184" s="130"/>
      <c r="B184" s="131">
        <f>DATE(2015,2,1)</f>
        <v>42036</v>
      </c>
      <c r="C184" s="204">
        <v>999615</v>
      </c>
      <c r="D184" s="204">
        <v>202023.5</v>
      </c>
      <c r="E184" s="204">
        <v>225331</v>
      </c>
      <c r="F184" s="132">
        <f t="shared" si="24"/>
        <v>-0.1034367219778903</v>
      </c>
      <c r="G184" s="215">
        <f t="shared" si="25"/>
        <v>0.20210130900396653</v>
      </c>
      <c r="H184" s="123"/>
    </row>
    <row r="185" spans="1:8" ht="15.75">
      <c r="A185" s="130"/>
      <c r="B185" s="131">
        <f>DATE(2015,3,1)</f>
        <v>42064</v>
      </c>
      <c r="C185" s="204">
        <v>1162945</v>
      </c>
      <c r="D185" s="204">
        <v>265796.5</v>
      </c>
      <c r="E185" s="204">
        <v>279957.5</v>
      </c>
      <c r="F185" s="132">
        <f t="shared" si="24"/>
        <v>-0.05058267772786941</v>
      </c>
      <c r="G185" s="215">
        <f t="shared" si="25"/>
        <v>0.2285546607965123</v>
      </c>
      <c r="H185" s="123"/>
    </row>
    <row r="186" spans="1:8" ht="15.75">
      <c r="A186" s="130"/>
      <c r="B186" s="131">
        <f>DATE(2015,4,1)</f>
        <v>42095</v>
      </c>
      <c r="C186" s="204">
        <v>1092970</v>
      </c>
      <c r="D186" s="204">
        <v>285401</v>
      </c>
      <c r="E186" s="204">
        <v>239097</v>
      </c>
      <c r="F186" s="132">
        <f t="shared" si="24"/>
        <v>0.1936619865577569</v>
      </c>
      <c r="G186" s="215">
        <f t="shared" si="25"/>
        <v>0.2611242760551525</v>
      </c>
      <c r="H186" s="123"/>
    </row>
    <row r="187" spans="1:8" ht="15.75">
      <c r="A187" s="130"/>
      <c r="B187" s="131">
        <f>DATE(2015,5,1)</f>
        <v>42125</v>
      </c>
      <c r="C187" s="204">
        <v>1125402</v>
      </c>
      <c r="D187" s="204">
        <v>212565</v>
      </c>
      <c r="E187" s="204">
        <v>232902.5</v>
      </c>
      <c r="F187" s="132">
        <f t="shared" si="24"/>
        <v>-0.0873219480254613</v>
      </c>
      <c r="G187" s="215">
        <f t="shared" si="25"/>
        <v>0.1888791738418805</v>
      </c>
      <c r="H187" s="123"/>
    </row>
    <row r="188" spans="1:8" ht="15.75" thickBot="1">
      <c r="A188" s="133"/>
      <c r="B188" s="134"/>
      <c r="C188" s="204"/>
      <c r="D188" s="204"/>
      <c r="E188" s="204"/>
      <c r="F188" s="132"/>
      <c r="G188" s="215"/>
      <c r="H188" s="123"/>
    </row>
    <row r="189" spans="1:8" ht="17.25" thickBot="1" thickTop="1">
      <c r="A189" s="135" t="s">
        <v>14</v>
      </c>
      <c r="B189" s="136"/>
      <c r="C189" s="201">
        <f>SUM(C177:C188)</f>
        <v>11483620</v>
      </c>
      <c r="D189" s="207">
        <f>SUM(D177:D188)</f>
        <v>2465451</v>
      </c>
      <c r="E189" s="207">
        <f>SUM(E177:E188)</f>
        <v>2305094</v>
      </c>
      <c r="F189" s="143">
        <f>(+D189-E189)/E189</f>
        <v>0.06956636041740596</v>
      </c>
      <c r="G189" s="217">
        <f>D189/C189</f>
        <v>0.21469284075927278</v>
      </c>
      <c r="H189" s="123"/>
    </row>
    <row r="190" spans="1:8" ht="16.5" thickBot="1" thickTop="1">
      <c r="A190" s="146"/>
      <c r="B190" s="139"/>
      <c r="C190" s="205"/>
      <c r="D190" s="205"/>
      <c r="E190" s="205"/>
      <c r="F190" s="140"/>
      <c r="G190" s="216"/>
      <c r="H190" s="123"/>
    </row>
    <row r="191" spans="1:8" ht="17.25" thickBot="1" thickTop="1">
      <c r="A191" s="147" t="s">
        <v>41</v>
      </c>
      <c r="B191" s="121"/>
      <c r="C191" s="201">
        <f>C189+C175+C133+C105+C77+C49+C21+C63+C161+C35+C119+C147+C91</f>
        <v>961904469.8299999</v>
      </c>
      <c r="D191" s="201">
        <f>D189+D175+D133+D105+D77+D49+D21+D63+D161+D35+D119+D147+D91</f>
        <v>198848740.74000004</v>
      </c>
      <c r="E191" s="201">
        <f>E189+E175+E133+E105+E77+E49+E21+E63+E161+E35+E119+E147+E91</f>
        <v>189924740.62999997</v>
      </c>
      <c r="F191" s="137">
        <f>(+D191-E191)/E191</f>
        <v>0.04698703328696538</v>
      </c>
      <c r="G191" s="212">
        <f>D191/C191</f>
        <v>0.2067240011631749</v>
      </c>
      <c r="H191" s="123"/>
    </row>
    <row r="192" spans="1:8" ht="17.25" thickBot="1" thickTop="1">
      <c r="A192" s="147"/>
      <c r="B192" s="121"/>
      <c r="C192" s="201"/>
      <c r="D192" s="201"/>
      <c r="E192" s="201"/>
      <c r="F192" s="137"/>
      <c r="G192" s="212"/>
      <c r="H192" s="123"/>
    </row>
    <row r="193" spans="1:8" ht="17.25" thickBot="1" thickTop="1">
      <c r="A193" s="267" t="s">
        <v>42</v>
      </c>
      <c r="B193" s="268"/>
      <c r="C193" s="206">
        <f>+C19+C33+C47+C61+C75+C89+C103+C117+C131+C145+C159+C173+C187</f>
        <v>96354783</v>
      </c>
      <c r="D193" s="206">
        <f>+D19+D33+D47+D61+D75+D89+D103+D117+D131+D145+D159+D173+D187</f>
        <v>19348239.189999998</v>
      </c>
      <c r="E193" s="206">
        <f>+E19+E33+E47+E61+E75+E89+E103+E117+E131+E145+E159+E173+E187</f>
        <v>17708700.54</v>
      </c>
      <c r="F193" s="143">
        <f>(+D193-E193)/E193</f>
        <v>0.09258379214763088</v>
      </c>
      <c r="G193" s="217">
        <f>D193/C193</f>
        <v>0.20080206283065363</v>
      </c>
      <c r="H193" s="123"/>
    </row>
    <row r="194" spans="1:8" ht="16.5" thickTop="1">
      <c r="A194" s="256"/>
      <c r="B194" s="258"/>
      <c r="C194" s="259"/>
      <c r="D194" s="259"/>
      <c r="E194" s="259"/>
      <c r="F194" s="260"/>
      <c r="G194" s="257"/>
      <c r="H194" s="257"/>
    </row>
    <row r="195" spans="1:18" s="3" customFormat="1" ht="15.75">
      <c r="A195" s="256" t="s">
        <v>70</v>
      </c>
      <c r="B195" s="258"/>
      <c r="C195" s="259"/>
      <c r="D195" s="259"/>
      <c r="E195" s="259"/>
      <c r="F195" s="260"/>
      <c r="G195" s="257"/>
      <c r="H195" s="257"/>
      <c r="I195" s="261"/>
      <c r="J195" s="261"/>
      <c r="K195" s="262"/>
      <c r="L195" s="262"/>
      <c r="M195" s="261"/>
      <c r="R195" s="2"/>
    </row>
    <row r="196" spans="1:7" ht="18.75">
      <c r="A196" s="265" t="s">
        <v>43</v>
      </c>
      <c r="B196" s="117"/>
      <c r="C196" s="208"/>
      <c r="D196" s="208"/>
      <c r="E196" s="208"/>
      <c r="F196" s="148"/>
      <c r="G196" s="220"/>
    </row>
    <row r="197" ht="15.75">
      <c r="A197" s="72"/>
    </row>
  </sheetData>
  <sheetProtection/>
  <printOptions horizontalCentered="1"/>
  <pageMargins left="0.7" right="0.25" top="0.319444444444444" bottom="0.2" header="0.5" footer="0.5"/>
  <pageSetup horizontalDpi="600" verticalDpi="600" orientation="landscape" scale="66" r:id="rId1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8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9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DATE(14,7,1)</f>
        <v>5296</v>
      </c>
      <c r="C10" s="226">
        <v>104944664.54</v>
      </c>
      <c r="D10" s="226">
        <v>10257059.81</v>
      </c>
      <c r="E10" s="226">
        <v>11572743.44</v>
      </c>
      <c r="F10" s="166">
        <f aca="true" t="shared" si="0" ref="F10:F20">(+D10-E10)/E10</f>
        <v>-0.1136881359913738</v>
      </c>
      <c r="G10" s="241">
        <f aca="true" t="shared" si="1" ref="G10:G20">D10/C10</f>
        <v>0.09773779214940925</v>
      </c>
      <c r="H10" s="242">
        <f aca="true" t="shared" si="2" ref="H10:H20">1-G10</f>
        <v>0.9022622078505907</v>
      </c>
      <c r="I10" s="157"/>
    </row>
    <row r="11" spans="1:9" ht="15.75">
      <c r="A11" s="164"/>
      <c r="B11" s="165">
        <f>DATE(14,8,1)</f>
        <v>5327</v>
      </c>
      <c r="C11" s="226">
        <v>109819409.27</v>
      </c>
      <c r="D11" s="226">
        <v>11078022.28</v>
      </c>
      <c r="E11" s="226">
        <v>11606101.87</v>
      </c>
      <c r="F11" s="166">
        <f t="shared" si="0"/>
        <v>-0.04550016843855256</v>
      </c>
      <c r="G11" s="241">
        <f t="shared" si="1"/>
        <v>0.10087490320371124</v>
      </c>
      <c r="H11" s="242">
        <f t="shared" si="2"/>
        <v>0.8991250967962887</v>
      </c>
      <c r="I11" s="157"/>
    </row>
    <row r="12" spans="1:9" ht="15.75">
      <c r="A12" s="164"/>
      <c r="B12" s="165">
        <f>DATE(14,9,1)</f>
        <v>5358</v>
      </c>
      <c r="C12" s="226">
        <v>101276217.74</v>
      </c>
      <c r="D12" s="226">
        <v>9537974.07</v>
      </c>
      <c r="E12" s="226">
        <v>10314286.07</v>
      </c>
      <c r="F12" s="166">
        <f t="shared" si="0"/>
        <v>-0.07526570377546257</v>
      </c>
      <c r="G12" s="241">
        <f t="shared" si="1"/>
        <v>0.09417782657016513</v>
      </c>
      <c r="H12" s="242">
        <f t="shared" si="2"/>
        <v>0.9058221734298348</v>
      </c>
      <c r="I12" s="157"/>
    </row>
    <row r="13" spans="1:9" ht="15.75">
      <c r="A13" s="164"/>
      <c r="B13" s="165">
        <f>DATE(14,10,1)</f>
        <v>5388</v>
      </c>
      <c r="C13" s="226">
        <v>109155119.66</v>
      </c>
      <c r="D13" s="226">
        <v>10436933.78</v>
      </c>
      <c r="E13" s="226">
        <v>10199198.41</v>
      </c>
      <c r="F13" s="166">
        <f t="shared" si="0"/>
        <v>0.023309221023380323</v>
      </c>
      <c r="G13" s="241">
        <f t="shared" si="1"/>
        <v>0.09561561393097555</v>
      </c>
      <c r="H13" s="242">
        <f t="shared" si="2"/>
        <v>0.9043843860690245</v>
      </c>
      <c r="I13" s="157"/>
    </row>
    <row r="14" spans="1:9" ht="15.75">
      <c r="A14" s="164"/>
      <c r="B14" s="165">
        <f>DATE(14,11,1)</f>
        <v>5419</v>
      </c>
      <c r="C14" s="226">
        <v>111943385.04</v>
      </c>
      <c r="D14" s="226">
        <v>10672606.66</v>
      </c>
      <c r="E14" s="226">
        <v>10668215.68</v>
      </c>
      <c r="F14" s="166">
        <f t="shared" si="0"/>
        <v>0.0004115946032317606</v>
      </c>
      <c r="G14" s="241">
        <f t="shared" si="1"/>
        <v>0.09533932403586355</v>
      </c>
      <c r="H14" s="242">
        <f t="shared" si="2"/>
        <v>0.9046606759641365</v>
      </c>
      <c r="I14" s="157"/>
    </row>
    <row r="15" spans="1:9" ht="15.75">
      <c r="A15" s="164"/>
      <c r="B15" s="165">
        <f>DATE(14,12,1)</f>
        <v>5449</v>
      </c>
      <c r="C15" s="226">
        <v>111463611.76</v>
      </c>
      <c r="D15" s="226">
        <v>10862879.38</v>
      </c>
      <c r="E15" s="226">
        <v>10081925.41</v>
      </c>
      <c r="F15" s="166">
        <f t="shared" si="0"/>
        <v>0.07746079625082256</v>
      </c>
      <c r="G15" s="241">
        <f t="shared" si="1"/>
        <v>0.09745673236741706</v>
      </c>
      <c r="H15" s="242">
        <f t="shared" si="2"/>
        <v>0.902543267632583</v>
      </c>
      <c r="I15" s="157"/>
    </row>
    <row r="16" spans="1:9" ht="15.75">
      <c r="A16" s="164"/>
      <c r="B16" s="165">
        <f>DATE(15,1,1)</f>
        <v>5480</v>
      </c>
      <c r="C16" s="226">
        <v>113548911.63</v>
      </c>
      <c r="D16" s="226">
        <v>10668353.86</v>
      </c>
      <c r="E16" s="226">
        <v>10226082.27</v>
      </c>
      <c r="F16" s="166">
        <f t="shared" si="0"/>
        <v>0.043249367482352544</v>
      </c>
      <c r="G16" s="241">
        <f t="shared" si="1"/>
        <v>0.09395381872758862</v>
      </c>
      <c r="H16" s="242">
        <f t="shared" si="2"/>
        <v>0.9060461812724114</v>
      </c>
      <c r="I16" s="157"/>
    </row>
    <row r="17" spans="1:9" ht="15.75">
      <c r="A17" s="164"/>
      <c r="B17" s="165">
        <f>DATE(15,2,1)</f>
        <v>5511</v>
      </c>
      <c r="C17" s="226">
        <v>109766288.26</v>
      </c>
      <c r="D17" s="226">
        <v>10507428.31</v>
      </c>
      <c r="E17" s="226">
        <v>10852711.04</v>
      </c>
      <c r="F17" s="166">
        <f t="shared" si="0"/>
        <v>-0.03181534353281727</v>
      </c>
      <c r="G17" s="241">
        <f t="shared" si="1"/>
        <v>0.09572545885045672</v>
      </c>
      <c r="H17" s="242">
        <f t="shared" si="2"/>
        <v>0.9042745411495433</v>
      </c>
      <c r="I17" s="157"/>
    </row>
    <row r="18" spans="1:9" ht="15.75">
      <c r="A18" s="164"/>
      <c r="B18" s="165">
        <f>DATE(15,3,1)</f>
        <v>5539</v>
      </c>
      <c r="C18" s="226">
        <v>121855195.17</v>
      </c>
      <c r="D18" s="226">
        <v>11724892.22</v>
      </c>
      <c r="E18" s="226">
        <v>11881774.76</v>
      </c>
      <c r="F18" s="166">
        <f t="shared" si="0"/>
        <v>-0.013203628512479823</v>
      </c>
      <c r="G18" s="241">
        <f t="shared" si="1"/>
        <v>0.09621987969936466</v>
      </c>
      <c r="H18" s="242">
        <f t="shared" si="2"/>
        <v>0.9037801203006354</v>
      </c>
      <c r="I18" s="157"/>
    </row>
    <row r="19" spans="1:9" ht="15.75">
      <c r="A19" s="164"/>
      <c r="B19" s="165">
        <f>DATE(15,4,1)</f>
        <v>5570</v>
      </c>
      <c r="C19" s="226">
        <v>118769091.01</v>
      </c>
      <c r="D19" s="226">
        <v>11415604.65</v>
      </c>
      <c r="E19" s="226">
        <v>10949171.86</v>
      </c>
      <c r="F19" s="166">
        <f t="shared" si="0"/>
        <v>0.04259982361807599</v>
      </c>
      <c r="G19" s="241">
        <f t="shared" si="1"/>
        <v>0.09611595536282112</v>
      </c>
      <c r="H19" s="242">
        <f t="shared" si="2"/>
        <v>0.9038840446371789</v>
      </c>
      <c r="I19" s="157"/>
    </row>
    <row r="20" spans="1:9" ht="15.75">
      <c r="A20" s="164"/>
      <c r="B20" s="165">
        <f>DATE(15,5,1)</f>
        <v>5600</v>
      </c>
      <c r="C20" s="226">
        <v>122272685.88</v>
      </c>
      <c r="D20" s="226">
        <v>12026852.16</v>
      </c>
      <c r="E20" s="226">
        <v>11868532.38</v>
      </c>
      <c r="F20" s="166">
        <f t="shared" si="0"/>
        <v>0.013339457224449121</v>
      </c>
      <c r="G20" s="241">
        <f t="shared" si="1"/>
        <v>0.09836090598192396</v>
      </c>
      <c r="H20" s="242">
        <f t="shared" si="2"/>
        <v>0.9016390940180761</v>
      </c>
      <c r="I20" s="157"/>
    </row>
    <row r="21" spans="1:9" ht="15.75" thickBot="1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7.25" thickBot="1" thickTop="1">
      <c r="A22" s="169" t="s">
        <v>14</v>
      </c>
      <c r="B22" s="155"/>
      <c r="C22" s="223">
        <f>SUM(C10:C21)</f>
        <v>1234814579.96</v>
      </c>
      <c r="D22" s="223">
        <f>SUM(D10:D21)</f>
        <v>119188607.18</v>
      </c>
      <c r="E22" s="223">
        <f>SUM(E10:E21)</f>
        <v>120220743.19</v>
      </c>
      <c r="F22" s="170">
        <f>(+D22-E22)/E22</f>
        <v>-0.008585340454673249</v>
      </c>
      <c r="G22" s="236">
        <f>D22/C22</f>
        <v>0.09652348548059818</v>
      </c>
      <c r="H22" s="237">
        <f>1-G22</f>
        <v>0.9034765145194018</v>
      </c>
      <c r="I22" s="157"/>
    </row>
    <row r="23" spans="1:9" ht="15.75" thickTop="1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>
      <c r="A24" s="19" t="s">
        <v>51</v>
      </c>
      <c r="B24" s="165">
        <f>DATE(14,7,1)</f>
        <v>5296</v>
      </c>
      <c r="C24" s="226">
        <v>72786711.96</v>
      </c>
      <c r="D24" s="226">
        <v>6282867.11</v>
      </c>
      <c r="E24" s="226">
        <v>5989524.29</v>
      </c>
      <c r="F24" s="166">
        <f aca="true" t="shared" si="3" ref="F24:F34">(+D24-E24)/E24</f>
        <v>0.04897597969337233</v>
      </c>
      <c r="G24" s="241">
        <f aca="true" t="shared" si="4" ref="G24:G34">D24/C24</f>
        <v>0.08631887525641707</v>
      </c>
      <c r="H24" s="242">
        <f aca="true" t="shared" si="5" ref="H24:H34">1-G24</f>
        <v>0.913681124743583</v>
      </c>
      <c r="I24" s="157"/>
    </row>
    <row r="25" spans="1:9" ht="15.75">
      <c r="A25" s="19"/>
      <c r="B25" s="165">
        <f>DATE(14,8,1)</f>
        <v>5327</v>
      </c>
      <c r="C25" s="226">
        <v>75955587.43</v>
      </c>
      <c r="D25" s="226">
        <v>6628156.87</v>
      </c>
      <c r="E25" s="226">
        <v>6567672.58</v>
      </c>
      <c r="F25" s="166">
        <f t="shared" si="3"/>
        <v>0.009209394844710733</v>
      </c>
      <c r="G25" s="241">
        <f t="shared" si="4"/>
        <v>0.0872635851326731</v>
      </c>
      <c r="H25" s="242">
        <f t="shared" si="5"/>
        <v>0.9127364148673269</v>
      </c>
      <c r="I25" s="157"/>
    </row>
    <row r="26" spans="1:9" ht="15.75">
      <c r="A26" s="19"/>
      <c r="B26" s="165">
        <f>DATE(14,9,1)</f>
        <v>5358</v>
      </c>
      <c r="C26" s="226">
        <v>66867844.99</v>
      </c>
      <c r="D26" s="226">
        <v>6002003.73</v>
      </c>
      <c r="E26" s="226">
        <v>6163226.74</v>
      </c>
      <c r="F26" s="166">
        <f t="shared" si="3"/>
        <v>-0.026158863984939124</v>
      </c>
      <c r="G26" s="241">
        <f t="shared" si="4"/>
        <v>0.08975919189406496</v>
      </c>
      <c r="H26" s="242">
        <f t="shared" si="5"/>
        <v>0.910240808105935</v>
      </c>
      <c r="I26" s="157"/>
    </row>
    <row r="27" spans="1:9" ht="15.75">
      <c r="A27" s="19"/>
      <c r="B27" s="165">
        <f>DATE(14,10,1)</f>
        <v>5388</v>
      </c>
      <c r="C27" s="226">
        <v>68787776.19</v>
      </c>
      <c r="D27" s="226">
        <v>5911302.22</v>
      </c>
      <c r="E27" s="226">
        <v>5687342.66</v>
      </c>
      <c r="F27" s="166">
        <f t="shared" si="3"/>
        <v>0.039378594431305036</v>
      </c>
      <c r="G27" s="241">
        <f t="shared" si="4"/>
        <v>0.08593535868454712</v>
      </c>
      <c r="H27" s="242">
        <f t="shared" si="5"/>
        <v>0.9140646413154528</v>
      </c>
      <c r="I27" s="157"/>
    </row>
    <row r="28" spans="1:9" ht="15.75">
      <c r="A28" s="19"/>
      <c r="B28" s="165">
        <f>DATE(14,11,1)</f>
        <v>5419</v>
      </c>
      <c r="C28" s="226">
        <v>65151385.42</v>
      </c>
      <c r="D28" s="226">
        <v>5713594.45</v>
      </c>
      <c r="E28" s="226">
        <v>6197477.62</v>
      </c>
      <c r="F28" s="166">
        <f t="shared" si="3"/>
        <v>-0.07807743725260922</v>
      </c>
      <c r="G28" s="241">
        <f t="shared" si="4"/>
        <v>0.08769720571814664</v>
      </c>
      <c r="H28" s="242">
        <f t="shared" si="5"/>
        <v>0.9123027942818533</v>
      </c>
      <c r="I28" s="157"/>
    </row>
    <row r="29" spans="1:9" ht="15.75">
      <c r="A29" s="19"/>
      <c r="B29" s="165">
        <f>DATE(14,12,1)</f>
        <v>5449</v>
      </c>
      <c r="C29" s="226">
        <v>65354460.72</v>
      </c>
      <c r="D29" s="226">
        <v>5842855.71</v>
      </c>
      <c r="E29" s="226">
        <v>5485192.67</v>
      </c>
      <c r="F29" s="166">
        <f t="shared" si="3"/>
        <v>0.0652051917804375</v>
      </c>
      <c r="G29" s="241">
        <f t="shared" si="4"/>
        <v>0.08940255409699906</v>
      </c>
      <c r="H29" s="242">
        <f t="shared" si="5"/>
        <v>0.910597445903001</v>
      </c>
      <c r="I29" s="157"/>
    </row>
    <row r="30" spans="1:9" ht="15.75">
      <c r="A30" s="19"/>
      <c r="B30" s="165">
        <f>DATE(15,1,1)</f>
        <v>5480</v>
      </c>
      <c r="C30" s="226">
        <v>70284718.45</v>
      </c>
      <c r="D30" s="226">
        <v>6478436.21</v>
      </c>
      <c r="E30" s="226">
        <v>5543860.37</v>
      </c>
      <c r="F30" s="166">
        <f t="shared" si="3"/>
        <v>0.16857853149717764</v>
      </c>
      <c r="G30" s="241">
        <f t="shared" si="4"/>
        <v>0.09217417886661534</v>
      </c>
      <c r="H30" s="242">
        <f t="shared" si="5"/>
        <v>0.9078258211333846</v>
      </c>
      <c r="I30" s="157"/>
    </row>
    <row r="31" spans="1:9" ht="15.75">
      <c r="A31" s="19"/>
      <c r="B31" s="165">
        <f>DATE(15,2,1)</f>
        <v>5511</v>
      </c>
      <c r="C31" s="226">
        <v>64137424.93</v>
      </c>
      <c r="D31" s="226">
        <v>5974487.42</v>
      </c>
      <c r="E31" s="226">
        <v>5915291.23</v>
      </c>
      <c r="F31" s="166">
        <f t="shared" si="3"/>
        <v>0.01000731624163828</v>
      </c>
      <c r="G31" s="241">
        <f t="shared" si="4"/>
        <v>0.09315134535757545</v>
      </c>
      <c r="H31" s="242">
        <f t="shared" si="5"/>
        <v>0.9068486546424246</v>
      </c>
      <c r="I31" s="157"/>
    </row>
    <row r="32" spans="1:9" ht="15.75">
      <c r="A32" s="19"/>
      <c r="B32" s="165">
        <f>DATE(15,3,1)</f>
        <v>5539</v>
      </c>
      <c r="C32" s="226">
        <v>72832145.56</v>
      </c>
      <c r="D32" s="226">
        <v>6676502.05</v>
      </c>
      <c r="E32" s="226">
        <v>6218826.71</v>
      </c>
      <c r="F32" s="166">
        <f t="shared" si="3"/>
        <v>0.07359512675663539</v>
      </c>
      <c r="G32" s="241">
        <f t="shared" si="4"/>
        <v>0.09166971532508014</v>
      </c>
      <c r="H32" s="242">
        <f t="shared" si="5"/>
        <v>0.9083302846749198</v>
      </c>
      <c r="I32" s="157"/>
    </row>
    <row r="33" spans="1:9" ht="15.75">
      <c r="A33" s="19"/>
      <c r="B33" s="165">
        <f>DATE(15,4,1)</f>
        <v>5570</v>
      </c>
      <c r="C33" s="226">
        <v>68359147</v>
      </c>
      <c r="D33" s="226">
        <v>6166561.03</v>
      </c>
      <c r="E33" s="226">
        <v>5969339.96</v>
      </c>
      <c r="F33" s="166">
        <f t="shared" si="3"/>
        <v>0.03303900788388006</v>
      </c>
      <c r="G33" s="241">
        <f t="shared" si="4"/>
        <v>0.09020827936896288</v>
      </c>
      <c r="H33" s="242">
        <f t="shared" si="5"/>
        <v>0.9097917206310371</v>
      </c>
      <c r="I33" s="157"/>
    </row>
    <row r="34" spans="1:9" ht="15.75">
      <c r="A34" s="19"/>
      <c r="B34" s="165">
        <f>DATE(15,5,1)</f>
        <v>5600</v>
      </c>
      <c r="C34" s="226">
        <v>77227330.27</v>
      </c>
      <c r="D34" s="226">
        <v>7140263.09</v>
      </c>
      <c r="E34" s="226">
        <v>6133504.36</v>
      </c>
      <c r="F34" s="166">
        <f t="shared" si="3"/>
        <v>0.16414086807627207</v>
      </c>
      <c r="G34" s="241">
        <f t="shared" si="4"/>
        <v>0.09245772273929988</v>
      </c>
      <c r="H34" s="242">
        <f t="shared" si="5"/>
        <v>0.9075422772607001</v>
      </c>
      <c r="I34" s="157"/>
    </row>
    <row r="35" spans="1:9" ht="15.75" thickBot="1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69" t="s">
        <v>14</v>
      </c>
      <c r="B36" s="155"/>
      <c r="C36" s="223">
        <f>SUM(C24:C35)</f>
        <v>767744532.9200001</v>
      </c>
      <c r="D36" s="223">
        <f>SUM(D24:D35)</f>
        <v>68817029.89</v>
      </c>
      <c r="E36" s="223">
        <f>SUM(E24:E35)</f>
        <v>65871259.19</v>
      </c>
      <c r="F36" s="170">
        <f>(+D36-E36)/E36</f>
        <v>0.044720121282381745</v>
      </c>
      <c r="G36" s="236">
        <f>D36/C36</f>
        <v>0.08963532391206336</v>
      </c>
      <c r="H36" s="237">
        <f>1-G36</f>
        <v>0.9103646760879367</v>
      </c>
      <c r="I36" s="157"/>
    </row>
    <row r="37" spans="1:9" ht="15.75" thickTop="1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.75">
      <c r="A38" s="19" t="s">
        <v>60</v>
      </c>
      <c r="B38" s="165">
        <f>DATE(14,7,1)</f>
        <v>5296</v>
      </c>
      <c r="C38" s="226">
        <v>23885983.14</v>
      </c>
      <c r="D38" s="226">
        <v>2494578.8</v>
      </c>
      <c r="E38" s="226">
        <v>2470933.68</v>
      </c>
      <c r="F38" s="166">
        <f aca="true" t="shared" si="6" ref="F38:F48">(+D38-E38)/E38</f>
        <v>0.009569305801845578</v>
      </c>
      <c r="G38" s="241">
        <f aca="true" t="shared" si="7" ref="G38:G48">D38/C38</f>
        <v>0.1044369321278856</v>
      </c>
      <c r="H38" s="242">
        <f aca="true" t="shared" si="8" ref="H38:H48">1-G38</f>
        <v>0.8955630678721144</v>
      </c>
      <c r="I38" s="157"/>
    </row>
    <row r="39" spans="1:9" ht="15.75">
      <c r="A39" s="19"/>
      <c r="B39" s="165">
        <f>DATE(14,8,1)</f>
        <v>5327</v>
      </c>
      <c r="C39" s="226">
        <v>25331756.44</v>
      </c>
      <c r="D39" s="226">
        <v>2704944.47</v>
      </c>
      <c r="E39" s="226">
        <v>2466434.72</v>
      </c>
      <c r="F39" s="166">
        <f t="shared" si="6"/>
        <v>0.09670223503827419</v>
      </c>
      <c r="G39" s="241">
        <f t="shared" si="7"/>
        <v>0.10678077046914794</v>
      </c>
      <c r="H39" s="242">
        <f t="shared" si="8"/>
        <v>0.8932192295308521</v>
      </c>
      <c r="I39" s="157"/>
    </row>
    <row r="40" spans="1:9" ht="15.75">
      <c r="A40" s="19"/>
      <c r="B40" s="165">
        <f>DATE(14,9,1)</f>
        <v>5358</v>
      </c>
      <c r="C40" s="226">
        <v>21496663.38</v>
      </c>
      <c r="D40" s="226">
        <v>2315066.28</v>
      </c>
      <c r="E40" s="226">
        <v>2199194.21</v>
      </c>
      <c r="F40" s="166">
        <f t="shared" si="6"/>
        <v>0.05268842081936903</v>
      </c>
      <c r="G40" s="241">
        <f t="shared" si="7"/>
        <v>0.10769421463583433</v>
      </c>
      <c r="H40" s="242">
        <f t="shared" si="8"/>
        <v>0.8923057853641657</v>
      </c>
      <c r="I40" s="157"/>
    </row>
    <row r="41" spans="1:9" ht="15.75">
      <c r="A41" s="19"/>
      <c r="B41" s="165">
        <f>DATE(14,10,1)</f>
        <v>5388</v>
      </c>
      <c r="C41" s="226">
        <v>21913719.51</v>
      </c>
      <c r="D41" s="226">
        <v>2355316.74</v>
      </c>
      <c r="E41" s="226">
        <v>2044677.84</v>
      </c>
      <c r="F41" s="166">
        <f t="shared" si="6"/>
        <v>0.1519255962592132</v>
      </c>
      <c r="G41" s="241">
        <f t="shared" si="7"/>
        <v>0.10748137662915629</v>
      </c>
      <c r="H41" s="242">
        <f t="shared" si="8"/>
        <v>0.8925186233708438</v>
      </c>
      <c r="I41" s="157"/>
    </row>
    <row r="42" spans="1:9" ht="15.75">
      <c r="A42" s="19"/>
      <c r="B42" s="165">
        <f>DATE(14,11,1)</f>
        <v>5419</v>
      </c>
      <c r="C42" s="226">
        <v>23634376.25</v>
      </c>
      <c r="D42" s="226">
        <v>2510185.21</v>
      </c>
      <c r="E42" s="226">
        <v>2169847.31</v>
      </c>
      <c r="F42" s="166">
        <f t="shared" si="6"/>
        <v>0.15684877845160447</v>
      </c>
      <c r="G42" s="241">
        <f t="shared" si="7"/>
        <v>0.10620907374274369</v>
      </c>
      <c r="H42" s="242">
        <f t="shared" si="8"/>
        <v>0.8937909262572563</v>
      </c>
      <c r="I42" s="157"/>
    </row>
    <row r="43" spans="1:9" ht="15.75">
      <c r="A43" s="19"/>
      <c r="B43" s="165">
        <f>DATE(14,12,1)</f>
        <v>5449</v>
      </c>
      <c r="C43" s="226">
        <v>23042019.55</v>
      </c>
      <c r="D43" s="226">
        <v>2494340.17</v>
      </c>
      <c r="E43" s="226">
        <v>2102627.31</v>
      </c>
      <c r="F43" s="166">
        <f t="shared" si="6"/>
        <v>0.1862968573351213</v>
      </c>
      <c r="G43" s="241">
        <f t="shared" si="7"/>
        <v>0.10825180338847512</v>
      </c>
      <c r="H43" s="242">
        <f t="shared" si="8"/>
        <v>0.8917481966115248</v>
      </c>
      <c r="I43" s="157"/>
    </row>
    <row r="44" spans="1:9" ht="15.75">
      <c r="A44" s="19"/>
      <c r="B44" s="165">
        <f>DATE(15,1,1)</f>
        <v>5480</v>
      </c>
      <c r="C44" s="226">
        <v>23227732.8</v>
      </c>
      <c r="D44" s="226">
        <v>2532118.3</v>
      </c>
      <c r="E44" s="226">
        <v>2114904.8</v>
      </c>
      <c r="F44" s="166">
        <f t="shared" si="6"/>
        <v>0.19727294580824634</v>
      </c>
      <c r="G44" s="241">
        <f t="shared" si="7"/>
        <v>0.1090127186240062</v>
      </c>
      <c r="H44" s="242">
        <f t="shared" si="8"/>
        <v>0.8909872813759938</v>
      </c>
      <c r="I44" s="157"/>
    </row>
    <row r="45" spans="1:9" ht="15.75">
      <c r="A45" s="19"/>
      <c r="B45" s="165">
        <f>DATE(15,2,1)</f>
        <v>5511</v>
      </c>
      <c r="C45" s="226">
        <v>24719211.33</v>
      </c>
      <c r="D45" s="226">
        <v>2578350.25</v>
      </c>
      <c r="E45" s="226">
        <v>2458744.47</v>
      </c>
      <c r="F45" s="166">
        <f t="shared" si="6"/>
        <v>0.04864506314476827</v>
      </c>
      <c r="G45" s="241">
        <f t="shared" si="7"/>
        <v>0.10430552235583805</v>
      </c>
      <c r="H45" s="242">
        <f t="shared" si="8"/>
        <v>0.895694477644162</v>
      </c>
      <c r="I45" s="157"/>
    </row>
    <row r="46" spans="1:9" ht="15.75">
      <c r="A46" s="19"/>
      <c r="B46" s="165">
        <f>DATE(15,3,1)</f>
        <v>5539</v>
      </c>
      <c r="C46" s="226">
        <v>25155913.77</v>
      </c>
      <c r="D46" s="226">
        <v>2659202.77</v>
      </c>
      <c r="E46" s="226">
        <v>2566685.54</v>
      </c>
      <c r="F46" s="166">
        <f t="shared" si="6"/>
        <v>0.0360454089751875</v>
      </c>
      <c r="G46" s="241">
        <f t="shared" si="7"/>
        <v>0.10570885217341083</v>
      </c>
      <c r="H46" s="242">
        <f t="shared" si="8"/>
        <v>0.8942911478265891</v>
      </c>
      <c r="I46" s="157"/>
    </row>
    <row r="47" spans="1:9" ht="15.75">
      <c r="A47" s="19"/>
      <c r="B47" s="165">
        <f>DATE(15,4,1)</f>
        <v>5570</v>
      </c>
      <c r="C47" s="226">
        <v>24415156.7</v>
      </c>
      <c r="D47" s="226">
        <v>2628844.03</v>
      </c>
      <c r="E47" s="226">
        <v>2446538.53</v>
      </c>
      <c r="F47" s="166">
        <f t="shared" si="6"/>
        <v>0.07451568727184527</v>
      </c>
      <c r="G47" s="241">
        <f t="shared" si="7"/>
        <v>0.10767262575054454</v>
      </c>
      <c r="H47" s="242">
        <f t="shared" si="8"/>
        <v>0.8923273742494555</v>
      </c>
      <c r="I47" s="157"/>
    </row>
    <row r="48" spans="1:9" ht="15.75">
      <c r="A48" s="19"/>
      <c r="B48" s="165">
        <f>DATE(15,5,1)</f>
        <v>5600</v>
      </c>
      <c r="C48" s="226">
        <v>27449957.49</v>
      </c>
      <c r="D48" s="226">
        <v>2928307.88</v>
      </c>
      <c r="E48" s="226">
        <v>2498615.84</v>
      </c>
      <c r="F48" s="166">
        <f t="shared" si="6"/>
        <v>0.17197203072241793</v>
      </c>
      <c r="G48" s="241">
        <f t="shared" si="7"/>
        <v>0.10667804790104977</v>
      </c>
      <c r="H48" s="242">
        <f t="shared" si="8"/>
        <v>0.8933219520989503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SUM(C38:C49)</f>
        <v>264272490.36000004</v>
      </c>
      <c r="D50" s="228">
        <f>SUM(D38:D49)</f>
        <v>28201254.9</v>
      </c>
      <c r="E50" s="228">
        <f>SUM(E38:E49)</f>
        <v>25539204.25</v>
      </c>
      <c r="F50" s="176">
        <f>(+D50-E50)/E50</f>
        <v>0.10423389170396719</v>
      </c>
      <c r="G50" s="245">
        <f>D50/C50</f>
        <v>0.10671279050491933</v>
      </c>
      <c r="H50" s="246">
        <f>1-G50</f>
        <v>0.8932872094950807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177" t="s">
        <v>67</v>
      </c>
      <c r="B52" s="165">
        <f>DATE(14,7,1)</f>
        <v>5296</v>
      </c>
      <c r="C52" s="226">
        <v>172113476.08</v>
      </c>
      <c r="D52" s="226">
        <v>16184356.72</v>
      </c>
      <c r="E52" s="226">
        <v>17835300.09</v>
      </c>
      <c r="F52" s="166">
        <f aca="true" t="shared" si="9" ref="F52:F62">(+D52-E52)/E52</f>
        <v>-0.09256605505200666</v>
      </c>
      <c r="G52" s="241">
        <f aca="true" t="shared" si="10" ref="G52:G62">D52/C52</f>
        <v>0.09403305940132982</v>
      </c>
      <c r="H52" s="242">
        <f aca="true" t="shared" si="11" ref="H52:H62">1-G52</f>
        <v>0.9059669405986702</v>
      </c>
      <c r="I52" s="157"/>
    </row>
    <row r="53" spans="1:9" ht="15.75">
      <c r="A53" s="177"/>
      <c r="B53" s="165">
        <f>DATE(14,8,1)</f>
        <v>5327</v>
      </c>
      <c r="C53" s="226">
        <v>172329267.96</v>
      </c>
      <c r="D53" s="226">
        <v>16094086.53</v>
      </c>
      <c r="E53" s="226">
        <v>17319904.37</v>
      </c>
      <c r="F53" s="166">
        <f t="shared" si="9"/>
        <v>-0.07077509285347178</v>
      </c>
      <c r="G53" s="241">
        <f t="shared" si="10"/>
        <v>0.09339148666107987</v>
      </c>
      <c r="H53" s="242">
        <f t="shared" si="11"/>
        <v>0.9066085133389201</v>
      </c>
      <c r="I53" s="157"/>
    </row>
    <row r="54" spans="1:9" ht="15.75">
      <c r="A54" s="177"/>
      <c r="B54" s="165">
        <f>DATE(14,9,1)</f>
        <v>5358</v>
      </c>
      <c r="C54" s="226">
        <v>154438510.02</v>
      </c>
      <c r="D54" s="226">
        <v>14708506.16</v>
      </c>
      <c r="E54" s="226">
        <v>15597210.9</v>
      </c>
      <c r="F54" s="166">
        <f t="shared" si="9"/>
        <v>-0.05697843965166876</v>
      </c>
      <c r="G54" s="241">
        <f t="shared" si="10"/>
        <v>0.09523859145037872</v>
      </c>
      <c r="H54" s="242">
        <f t="shared" si="11"/>
        <v>0.9047614085496213</v>
      </c>
      <c r="I54" s="157"/>
    </row>
    <row r="55" spans="1:9" ht="15.75">
      <c r="A55" s="177"/>
      <c r="B55" s="165">
        <f>DATE(14,10,1)</f>
        <v>5388</v>
      </c>
      <c r="C55" s="226">
        <v>167656435.88</v>
      </c>
      <c r="D55" s="226">
        <v>15565657.96</v>
      </c>
      <c r="E55" s="226">
        <v>14804268.75</v>
      </c>
      <c r="F55" s="166">
        <f t="shared" si="9"/>
        <v>0.05143038287520962</v>
      </c>
      <c r="G55" s="241">
        <f t="shared" si="10"/>
        <v>0.09284259132850177</v>
      </c>
      <c r="H55" s="242">
        <f t="shared" si="11"/>
        <v>0.9071574086714982</v>
      </c>
      <c r="I55" s="157"/>
    </row>
    <row r="56" spans="1:9" ht="15.75">
      <c r="A56" s="177"/>
      <c r="B56" s="165">
        <f>DATE(14,11,1)</f>
        <v>5419</v>
      </c>
      <c r="C56" s="226">
        <v>159448297.94</v>
      </c>
      <c r="D56" s="226">
        <v>14902890.81</v>
      </c>
      <c r="E56" s="226">
        <v>15166817.13</v>
      </c>
      <c r="F56" s="166">
        <f t="shared" si="9"/>
        <v>-0.01740156274963937</v>
      </c>
      <c r="G56" s="241">
        <f t="shared" si="10"/>
        <v>0.09346534897229146</v>
      </c>
      <c r="H56" s="242">
        <f t="shared" si="11"/>
        <v>0.9065346510277086</v>
      </c>
      <c r="I56" s="157"/>
    </row>
    <row r="57" spans="1:9" ht="15.75">
      <c r="A57" s="177"/>
      <c r="B57" s="165">
        <f>DATE(14,12,1)</f>
        <v>5449</v>
      </c>
      <c r="C57" s="226">
        <v>169511473.14</v>
      </c>
      <c r="D57" s="226">
        <v>15639270.65</v>
      </c>
      <c r="E57" s="226">
        <v>15302968.84</v>
      </c>
      <c r="F57" s="166">
        <f t="shared" si="9"/>
        <v>0.021976246146496143</v>
      </c>
      <c r="G57" s="241">
        <f t="shared" si="10"/>
        <v>0.092260838516125</v>
      </c>
      <c r="H57" s="242">
        <f t="shared" si="11"/>
        <v>0.907739161483875</v>
      </c>
      <c r="I57" s="157"/>
    </row>
    <row r="58" spans="1:9" ht="15.75">
      <c r="A58" s="177"/>
      <c r="B58" s="165">
        <f>DATE(15,1,1)</f>
        <v>5480</v>
      </c>
      <c r="C58" s="226">
        <v>169154561.92</v>
      </c>
      <c r="D58" s="226">
        <v>15672252.65</v>
      </c>
      <c r="E58" s="226">
        <v>14800070.33</v>
      </c>
      <c r="F58" s="166">
        <f t="shared" si="9"/>
        <v>0.05893095779633368</v>
      </c>
      <c r="G58" s="241">
        <f t="shared" si="10"/>
        <v>0.09265048764934901</v>
      </c>
      <c r="H58" s="242">
        <f t="shared" si="11"/>
        <v>0.907349512350651</v>
      </c>
      <c r="I58" s="157"/>
    </row>
    <row r="59" spans="1:9" ht="15.75">
      <c r="A59" s="177"/>
      <c r="B59" s="165">
        <f>DATE(15,2,1)</f>
        <v>5511</v>
      </c>
      <c r="C59" s="226">
        <v>166793349.72</v>
      </c>
      <c r="D59" s="226">
        <v>15554550.36</v>
      </c>
      <c r="E59" s="226">
        <v>15128457.93</v>
      </c>
      <c r="F59" s="166">
        <f t="shared" si="9"/>
        <v>0.028164961159395558</v>
      </c>
      <c r="G59" s="241">
        <f t="shared" si="10"/>
        <v>0.09325641811326289</v>
      </c>
      <c r="H59" s="242">
        <f t="shared" si="11"/>
        <v>0.9067435818867371</v>
      </c>
      <c r="I59" s="157"/>
    </row>
    <row r="60" spans="1:9" ht="15.75">
      <c r="A60" s="177"/>
      <c r="B60" s="165">
        <f>DATE(15,3,1)</f>
        <v>5539</v>
      </c>
      <c r="C60" s="226">
        <v>183559257.38</v>
      </c>
      <c r="D60" s="226">
        <v>17725546.16</v>
      </c>
      <c r="E60" s="226">
        <v>17395656.23</v>
      </c>
      <c r="F60" s="166">
        <f t="shared" si="9"/>
        <v>0.018963925570745756</v>
      </c>
      <c r="G60" s="241">
        <f t="shared" si="10"/>
        <v>0.09656579794995028</v>
      </c>
      <c r="H60" s="242">
        <f t="shared" si="11"/>
        <v>0.9034342020500498</v>
      </c>
      <c r="I60" s="157"/>
    </row>
    <row r="61" spans="1:9" ht="15.75">
      <c r="A61" s="177"/>
      <c r="B61" s="165">
        <f>DATE(15,4,1)</f>
        <v>5570</v>
      </c>
      <c r="C61" s="226">
        <v>171173902.45</v>
      </c>
      <c r="D61" s="226">
        <v>16083130.58</v>
      </c>
      <c r="E61" s="226">
        <v>16153549.96</v>
      </c>
      <c r="F61" s="166">
        <f t="shared" si="9"/>
        <v>-0.004359374885048538</v>
      </c>
      <c r="G61" s="241">
        <f t="shared" si="10"/>
        <v>0.09395784257882356</v>
      </c>
      <c r="H61" s="242">
        <f t="shared" si="11"/>
        <v>0.9060421574211764</v>
      </c>
      <c r="I61" s="157"/>
    </row>
    <row r="62" spans="1:9" ht="15.75">
      <c r="A62" s="177"/>
      <c r="B62" s="165">
        <f>DATE(15,5,1)</f>
        <v>5600</v>
      </c>
      <c r="C62" s="226">
        <v>187776925.76</v>
      </c>
      <c r="D62" s="226">
        <v>17472788.21</v>
      </c>
      <c r="E62" s="226">
        <v>17796801.27</v>
      </c>
      <c r="F62" s="166">
        <f t="shared" si="9"/>
        <v>-0.018206252634072294</v>
      </c>
      <c r="G62" s="241">
        <f t="shared" si="10"/>
        <v>0.09305077362024868</v>
      </c>
      <c r="H62" s="242">
        <f t="shared" si="11"/>
        <v>0.9069492263797513</v>
      </c>
      <c r="I62" s="157"/>
    </row>
    <row r="63" spans="1:9" ht="15.75" thickBot="1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8"/>
      <c r="C64" s="228">
        <f>SUM(C52:C63)</f>
        <v>1873955458.25</v>
      </c>
      <c r="D64" s="228">
        <f>SUM(D52:D63)</f>
        <v>175603036.79000002</v>
      </c>
      <c r="E64" s="228">
        <f>SUM(E52:E63)</f>
        <v>177301005.8</v>
      </c>
      <c r="F64" s="176">
        <f>(+D64-E64)/E64</f>
        <v>-0.009576759039457126</v>
      </c>
      <c r="G64" s="245">
        <f>D64/C64</f>
        <v>0.09370715617434554</v>
      </c>
      <c r="H64" s="246">
        <f>1-G64</f>
        <v>0.9062928438256544</v>
      </c>
      <c r="I64" s="157"/>
    </row>
    <row r="65" spans="1:9" ht="15.75" thickTop="1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>
      <c r="A66" s="164" t="s">
        <v>16</v>
      </c>
      <c r="B66" s="165">
        <f>DATE(14,7,1)</f>
        <v>5296</v>
      </c>
      <c r="C66" s="226">
        <v>117913499.74</v>
      </c>
      <c r="D66" s="226">
        <v>11317531.22</v>
      </c>
      <c r="E66" s="226">
        <v>12102747.19</v>
      </c>
      <c r="F66" s="166">
        <f aca="true" t="shared" si="12" ref="F66:F76">(+D66-E66)/E66</f>
        <v>-0.06487915162342565</v>
      </c>
      <c r="G66" s="241">
        <f aca="true" t="shared" si="13" ref="G66:G76">D66/C66</f>
        <v>0.09598164116030164</v>
      </c>
      <c r="H66" s="242">
        <f aca="true" t="shared" si="14" ref="H66:H76">1-G66</f>
        <v>0.9040183588396984</v>
      </c>
      <c r="I66" s="157"/>
    </row>
    <row r="67" spans="1:9" ht="15.75">
      <c r="A67" s="164"/>
      <c r="B67" s="165">
        <f>DATE(14,8,1)</f>
        <v>5327</v>
      </c>
      <c r="C67" s="226">
        <v>128157405.69</v>
      </c>
      <c r="D67" s="226">
        <v>12087387.41</v>
      </c>
      <c r="E67" s="226">
        <v>12818955.17</v>
      </c>
      <c r="F67" s="166">
        <f t="shared" si="12"/>
        <v>-0.057069219004063323</v>
      </c>
      <c r="G67" s="241">
        <f t="shared" si="13"/>
        <v>0.0943167298442213</v>
      </c>
      <c r="H67" s="242">
        <f t="shared" si="14"/>
        <v>0.9056832701557787</v>
      </c>
      <c r="I67" s="157"/>
    </row>
    <row r="68" spans="1:9" ht="15.75">
      <c r="A68" s="164"/>
      <c r="B68" s="165">
        <f>DATE(14,9,1)</f>
        <v>5358</v>
      </c>
      <c r="C68" s="226">
        <v>116272881.78</v>
      </c>
      <c r="D68" s="226">
        <v>11134793.77</v>
      </c>
      <c r="E68" s="226">
        <v>11559629.19</v>
      </c>
      <c r="F68" s="166">
        <f t="shared" si="12"/>
        <v>-0.03675164774035455</v>
      </c>
      <c r="G68" s="241">
        <f t="shared" si="13"/>
        <v>0.09576432268246478</v>
      </c>
      <c r="H68" s="242">
        <f t="shared" si="14"/>
        <v>0.9042356773175352</v>
      </c>
      <c r="I68" s="157"/>
    </row>
    <row r="69" spans="1:9" ht="15.75">
      <c r="A69" s="164"/>
      <c r="B69" s="165">
        <f>DATE(14,10,1)</f>
        <v>5388</v>
      </c>
      <c r="C69" s="226">
        <v>123094224.28</v>
      </c>
      <c r="D69" s="226">
        <v>11239699.89</v>
      </c>
      <c r="E69" s="226">
        <v>12317052.53</v>
      </c>
      <c r="F69" s="166">
        <f t="shared" si="12"/>
        <v>-0.08746838071656733</v>
      </c>
      <c r="G69" s="241">
        <f t="shared" si="13"/>
        <v>0.09130972599033792</v>
      </c>
      <c r="H69" s="242">
        <f t="shared" si="14"/>
        <v>0.9086902740096621</v>
      </c>
      <c r="I69" s="157"/>
    </row>
    <row r="70" spans="1:9" ht="15.75">
      <c r="A70" s="164"/>
      <c r="B70" s="165">
        <f>DATE(14,11,1)</f>
        <v>5419</v>
      </c>
      <c r="C70" s="226">
        <v>118607546.79</v>
      </c>
      <c r="D70" s="226">
        <v>10996815.12</v>
      </c>
      <c r="E70" s="226">
        <v>12363565.16</v>
      </c>
      <c r="F70" s="166">
        <f t="shared" si="12"/>
        <v>-0.11054659576849765</v>
      </c>
      <c r="G70" s="241">
        <f t="shared" si="13"/>
        <v>0.09271598155107579</v>
      </c>
      <c r="H70" s="242">
        <f t="shared" si="14"/>
        <v>0.9072840184489243</v>
      </c>
      <c r="I70" s="157"/>
    </row>
    <row r="71" spans="1:9" ht="15.75">
      <c r="A71" s="164"/>
      <c r="B71" s="165">
        <f>DATE(14,12,1)</f>
        <v>5449</v>
      </c>
      <c r="C71" s="226">
        <v>120282475.67</v>
      </c>
      <c r="D71" s="226">
        <v>10967179.62</v>
      </c>
      <c r="E71" s="226">
        <v>10564622.81</v>
      </c>
      <c r="F71" s="166">
        <f t="shared" si="12"/>
        <v>0.03810422929808307</v>
      </c>
      <c r="G71" s="241">
        <f t="shared" si="13"/>
        <v>0.09117853252446279</v>
      </c>
      <c r="H71" s="242">
        <f t="shared" si="14"/>
        <v>0.9088214674755373</v>
      </c>
      <c r="I71" s="157"/>
    </row>
    <row r="72" spans="1:9" ht="15.75">
      <c r="A72" s="164"/>
      <c r="B72" s="165">
        <f>DATE(15,1,1)</f>
        <v>5480</v>
      </c>
      <c r="C72" s="226">
        <v>117260996.73</v>
      </c>
      <c r="D72" s="226">
        <v>11208885.08</v>
      </c>
      <c r="E72" s="226">
        <v>10377889.39</v>
      </c>
      <c r="F72" s="166">
        <f t="shared" si="12"/>
        <v>0.08007366996999757</v>
      </c>
      <c r="G72" s="241">
        <f t="shared" si="13"/>
        <v>0.09558920180261715</v>
      </c>
      <c r="H72" s="242">
        <f t="shared" si="14"/>
        <v>0.9044107981973828</v>
      </c>
      <c r="I72" s="157"/>
    </row>
    <row r="73" spans="1:9" ht="15.75">
      <c r="A73" s="164"/>
      <c r="B73" s="165">
        <f>DATE(15,2,1)</f>
        <v>5511</v>
      </c>
      <c r="C73" s="226">
        <v>108975251.3</v>
      </c>
      <c r="D73" s="226">
        <v>10905771.72</v>
      </c>
      <c r="E73" s="226">
        <v>10947235.2</v>
      </c>
      <c r="F73" s="166">
        <f t="shared" si="12"/>
        <v>-0.0037875755149572913</v>
      </c>
      <c r="G73" s="241">
        <f t="shared" si="13"/>
        <v>0.1000756739709395</v>
      </c>
      <c r="H73" s="242">
        <f t="shared" si="14"/>
        <v>0.8999243260290605</v>
      </c>
      <c r="I73" s="157"/>
    </row>
    <row r="74" spans="1:9" ht="15.75">
      <c r="A74" s="164"/>
      <c r="B74" s="165">
        <f>DATE(15,3,1)</f>
        <v>5539</v>
      </c>
      <c r="C74" s="226">
        <v>120126415.49</v>
      </c>
      <c r="D74" s="226">
        <v>11881750.2</v>
      </c>
      <c r="E74" s="226">
        <v>12584292.55</v>
      </c>
      <c r="F74" s="166">
        <f t="shared" si="12"/>
        <v>-0.05582692449405918</v>
      </c>
      <c r="G74" s="241">
        <f t="shared" si="13"/>
        <v>0.09891038662507251</v>
      </c>
      <c r="H74" s="242">
        <f t="shared" si="14"/>
        <v>0.9010896133749275</v>
      </c>
      <c r="I74" s="157"/>
    </row>
    <row r="75" spans="1:9" ht="15.75">
      <c r="A75" s="164"/>
      <c r="B75" s="165">
        <f>DATE(15,4,1)</f>
        <v>5570</v>
      </c>
      <c r="C75" s="226">
        <v>116906510.02</v>
      </c>
      <c r="D75" s="226">
        <v>11101283.56</v>
      </c>
      <c r="E75" s="226">
        <v>11775007.59</v>
      </c>
      <c r="F75" s="166">
        <f t="shared" si="12"/>
        <v>-0.057216441250718494</v>
      </c>
      <c r="G75" s="241">
        <f t="shared" si="13"/>
        <v>0.09495864309096926</v>
      </c>
      <c r="H75" s="242">
        <f t="shared" si="14"/>
        <v>0.9050413569090308</v>
      </c>
      <c r="I75" s="157"/>
    </row>
    <row r="76" spans="1:9" ht="15.75">
      <c r="A76" s="164"/>
      <c r="B76" s="165">
        <f>DATE(15,5,1)</f>
        <v>5600</v>
      </c>
      <c r="C76" s="226">
        <v>132953809.98</v>
      </c>
      <c r="D76" s="226">
        <v>12422253.11</v>
      </c>
      <c r="E76" s="226">
        <v>12640291.44</v>
      </c>
      <c r="F76" s="166">
        <f t="shared" si="12"/>
        <v>-0.01724947015936842</v>
      </c>
      <c r="G76" s="241">
        <f t="shared" si="13"/>
        <v>0.09343284793319316</v>
      </c>
      <c r="H76" s="242">
        <f t="shared" si="14"/>
        <v>0.9065671520668068</v>
      </c>
      <c r="I76" s="157"/>
    </row>
    <row r="77" spans="1:9" ht="15.75" thickBot="1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SUM(C66:C77)</f>
        <v>1320551017.47</v>
      </c>
      <c r="D78" s="230">
        <f>SUM(D66:D77)</f>
        <v>125263350.7</v>
      </c>
      <c r="E78" s="273">
        <f>SUM(E66:E77)</f>
        <v>130051288.22</v>
      </c>
      <c r="F78" s="274">
        <f>(+D78-E78)/E78</f>
        <v>-0.036815763884633944</v>
      </c>
      <c r="G78" s="249">
        <f>D78/C78</f>
        <v>0.09485688098592958</v>
      </c>
      <c r="H78" s="272">
        <f>1-G78</f>
        <v>0.9051431190140704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68</v>
      </c>
      <c r="B80" s="165">
        <f>DATE(14,7,1)</f>
        <v>5296</v>
      </c>
      <c r="C80" s="226">
        <v>46700410.2</v>
      </c>
      <c r="D80" s="226">
        <v>4629796.15</v>
      </c>
      <c r="E80" s="226">
        <v>4284425.39</v>
      </c>
      <c r="F80" s="166">
        <f aca="true" t="shared" si="15" ref="F80:F90">(+D80-E80)/E80</f>
        <v>0.08061075373283622</v>
      </c>
      <c r="G80" s="241">
        <f aca="true" t="shared" si="16" ref="G80:G90">D80/C80</f>
        <v>0.0991382330513234</v>
      </c>
      <c r="H80" s="242">
        <f aca="true" t="shared" si="17" ref="H80:H90">1-G80</f>
        <v>0.9008617669486766</v>
      </c>
      <c r="I80" s="157"/>
    </row>
    <row r="81" spans="1:9" ht="15.75">
      <c r="A81" s="164"/>
      <c r="B81" s="165">
        <f>DATE(14,8,1)</f>
        <v>5327</v>
      </c>
      <c r="C81" s="226">
        <v>51084267.97</v>
      </c>
      <c r="D81" s="226">
        <v>5028824.28</v>
      </c>
      <c r="E81" s="226">
        <v>4679283.96</v>
      </c>
      <c r="F81" s="166">
        <f t="shared" si="15"/>
        <v>0.07469953159243627</v>
      </c>
      <c r="G81" s="241">
        <f t="shared" si="16"/>
        <v>0.09844174106504282</v>
      </c>
      <c r="H81" s="242">
        <f t="shared" si="17"/>
        <v>0.9015582589349572</v>
      </c>
      <c r="I81" s="157"/>
    </row>
    <row r="82" spans="1:9" ht="15.75">
      <c r="A82" s="164"/>
      <c r="B82" s="165">
        <f>DATE(14,9,1)</f>
        <v>5358</v>
      </c>
      <c r="C82" s="226">
        <v>41927140.99</v>
      </c>
      <c r="D82" s="226">
        <v>4179634.68</v>
      </c>
      <c r="E82" s="226">
        <v>4106556.6</v>
      </c>
      <c r="F82" s="166">
        <f t="shared" si="15"/>
        <v>0.01779546396608781</v>
      </c>
      <c r="G82" s="241">
        <f t="shared" si="16"/>
        <v>0.09968804410004681</v>
      </c>
      <c r="H82" s="242">
        <f t="shared" si="17"/>
        <v>0.9003119558999532</v>
      </c>
      <c r="I82" s="157"/>
    </row>
    <row r="83" spans="1:9" ht="15.75">
      <c r="A83" s="164"/>
      <c r="B83" s="165">
        <f>DATE(14,10,1)</f>
        <v>5388</v>
      </c>
      <c r="C83" s="226">
        <v>45432033.25</v>
      </c>
      <c r="D83" s="226">
        <v>4484784.1</v>
      </c>
      <c r="E83" s="226">
        <v>3750005.7</v>
      </c>
      <c r="F83" s="166">
        <f t="shared" si="15"/>
        <v>0.1959406088369411</v>
      </c>
      <c r="G83" s="241">
        <f t="shared" si="16"/>
        <v>0.09871414020414769</v>
      </c>
      <c r="H83" s="242">
        <f t="shared" si="17"/>
        <v>0.9012858597958523</v>
      </c>
      <c r="I83" s="157"/>
    </row>
    <row r="84" spans="1:9" ht="15.75">
      <c r="A84" s="164"/>
      <c r="B84" s="165">
        <f>DATE(14,11,1)</f>
        <v>5419</v>
      </c>
      <c r="C84" s="226">
        <v>46000802.68</v>
      </c>
      <c r="D84" s="226">
        <v>4434332.43</v>
      </c>
      <c r="E84" s="226">
        <v>4135894.29</v>
      </c>
      <c r="F84" s="166">
        <f t="shared" si="15"/>
        <v>0.07215806765699509</v>
      </c>
      <c r="G84" s="241">
        <f t="shared" si="16"/>
        <v>0.09639684900385308</v>
      </c>
      <c r="H84" s="242">
        <f t="shared" si="17"/>
        <v>0.903603150996147</v>
      </c>
      <c r="I84" s="157"/>
    </row>
    <row r="85" spans="1:9" ht="15.75">
      <c r="A85" s="164"/>
      <c r="B85" s="165">
        <f>DATE(14,12,1)</f>
        <v>5449</v>
      </c>
      <c r="C85" s="226">
        <v>46770068.17</v>
      </c>
      <c r="D85" s="226">
        <v>4523055.2</v>
      </c>
      <c r="E85" s="226">
        <v>4017872.38</v>
      </c>
      <c r="F85" s="166">
        <f t="shared" si="15"/>
        <v>0.12573391392784863</v>
      </c>
      <c r="G85" s="241">
        <f t="shared" si="16"/>
        <v>0.09670833028422332</v>
      </c>
      <c r="H85" s="242">
        <f t="shared" si="17"/>
        <v>0.9032916697157767</v>
      </c>
      <c r="I85" s="157"/>
    </row>
    <row r="86" spans="1:9" ht="15.75">
      <c r="A86" s="164"/>
      <c r="B86" s="165">
        <f>DATE(15,1,1)</f>
        <v>5480</v>
      </c>
      <c r="C86" s="226">
        <v>48665686.62</v>
      </c>
      <c r="D86" s="226">
        <v>4705964.15</v>
      </c>
      <c r="E86" s="226">
        <v>3965079.75</v>
      </c>
      <c r="F86" s="166">
        <f t="shared" si="15"/>
        <v>0.1868523325413569</v>
      </c>
      <c r="G86" s="241">
        <f t="shared" si="16"/>
        <v>0.0966998408292467</v>
      </c>
      <c r="H86" s="242">
        <f t="shared" si="17"/>
        <v>0.9033001591707533</v>
      </c>
      <c r="I86" s="157"/>
    </row>
    <row r="87" spans="1:9" ht="15.75">
      <c r="A87" s="164"/>
      <c r="B87" s="165">
        <f>DATE(15,2,1)</f>
        <v>5511</v>
      </c>
      <c r="C87" s="226">
        <v>49579489.03</v>
      </c>
      <c r="D87" s="226">
        <v>4729079.1</v>
      </c>
      <c r="E87" s="226">
        <v>4227175.72</v>
      </c>
      <c r="F87" s="166">
        <f t="shared" si="15"/>
        <v>0.1187325564975567</v>
      </c>
      <c r="G87" s="241">
        <f t="shared" si="16"/>
        <v>0.0953837805213863</v>
      </c>
      <c r="H87" s="242">
        <f t="shared" si="17"/>
        <v>0.9046162194786137</v>
      </c>
      <c r="I87" s="157"/>
    </row>
    <row r="88" spans="1:9" ht="15.75">
      <c r="A88" s="164"/>
      <c r="B88" s="165">
        <f>DATE(15,3,1)</f>
        <v>5539</v>
      </c>
      <c r="C88" s="226">
        <v>50537008.69</v>
      </c>
      <c r="D88" s="226">
        <v>5068490.68</v>
      </c>
      <c r="E88" s="226">
        <v>4557130.94</v>
      </c>
      <c r="F88" s="166">
        <f t="shared" si="15"/>
        <v>0.11221089469068432</v>
      </c>
      <c r="G88" s="241">
        <f t="shared" si="16"/>
        <v>0.1002926530751102</v>
      </c>
      <c r="H88" s="242">
        <f t="shared" si="17"/>
        <v>0.8997073469248897</v>
      </c>
      <c r="I88" s="157"/>
    </row>
    <row r="89" spans="1:9" ht="15.75">
      <c r="A89" s="164"/>
      <c r="B89" s="165">
        <f>DATE(15,4,1)</f>
        <v>5570</v>
      </c>
      <c r="C89" s="226">
        <v>46866407.43</v>
      </c>
      <c r="D89" s="226">
        <v>4475673.54</v>
      </c>
      <c r="E89" s="226">
        <v>4289606.15</v>
      </c>
      <c r="F89" s="166">
        <f t="shared" si="15"/>
        <v>0.043376334211941495</v>
      </c>
      <c r="G89" s="241">
        <f t="shared" si="16"/>
        <v>0.09549854118186674</v>
      </c>
      <c r="H89" s="242">
        <f t="shared" si="17"/>
        <v>0.9045014588181333</v>
      </c>
      <c r="I89" s="157"/>
    </row>
    <row r="90" spans="1:9" ht="15.75">
      <c r="A90" s="164"/>
      <c r="B90" s="165">
        <f>DATE(15,5,1)</f>
        <v>5600</v>
      </c>
      <c r="C90" s="226">
        <v>49230651.75</v>
      </c>
      <c r="D90" s="226">
        <v>4785910.76</v>
      </c>
      <c r="E90" s="226">
        <v>4442376.06</v>
      </c>
      <c r="F90" s="166">
        <f t="shared" si="15"/>
        <v>0.07733129644139138</v>
      </c>
      <c r="G90" s="241">
        <f t="shared" si="16"/>
        <v>0.09721404429710805</v>
      </c>
      <c r="H90" s="242">
        <f t="shared" si="17"/>
        <v>0.902785955702892</v>
      </c>
      <c r="I90" s="157"/>
    </row>
    <row r="91" spans="1:9" ht="15.75" thickBot="1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SUM(C80:C91)</f>
        <v>522793966.78</v>
      </c>
      <c r="D92" s="230">
        <f>SUM(D80:D91)</f>
        <v>51045545.07</v>
      </c>
      <c r="E92" s="273">
        <f>SUM(E80:E91)</f>
        <v>46455406.94</v>
      </c>
      <c r="F92" s="274">
        <f>(+D92-E92)/E92</f>
        <v>0.09880740332182317</v>
      </c>
      <c r="G92" s="249">
        <f>D92/C92</f>
        <v>0.09763988935144077</v>
      </c>
      <c r="H92" s="272">
        <f>1-G92</f>
        <v>0.9023601106485593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17</v>
      </c>
      <c r="B94" s="165">
        <f>DATE(14,7,1)</f>
        <v>5296</v>
      </c>
      <c r="C94" s="226">
        <v>61551060.25</v>
      </c>
      <c r="D94" s="226">
        <v>6042752.33</v>
      </c>
      <c r="E94" s="226">
        <v>6162329.23</v>
      </c>
      <c r="F94" s="166">
        <f aca="true" t="shared" si="18" ref="F94:F104">(+D94-E94)/E94</f>
        <v>-0.019404497153100074</v>
      </c>
      <c r="G94" s="241">
        <f aca="true" t="shared" si="19" ref="G94:G104">D94/C94</f>
        <v>0.0981746261633243</v>
      </c>
      <c r="H94" s="242">
        <f aca="true" t="shared" si="20" ref="H94:H104">1-G94</f>
        <v>0.9018253738366757</v>
      </c>
      <c r="I94" s="157"/>
    </row>
    <row r="95" spans="1:9" ht="15.75">
      <c r="A95" s="164"/>
      <c r="B95" s="165">
        <f>DATE(14,8,1)</f>
        <v>5327</v>
      </c>
      <c r="C95" s="226">
        <v>61716291.51</v>
      </c>
      <c r="D95" s="226">
        <v>6053208.76</v>
      </c>
      <c r="E95" s="226">
        <v>6150694.94</v>
      </c>
      <c r="F95" s="166">
        <f t="shared" si="18"/>
        <v>-0.015849620400780376</v>
      </c>
      <c r="G95" s="241">
        <f t="shared" si="19"/>
        <v>0.09808121343485436</v>
      </c>
      <c r="H95" s="242">
        <f t="shared" si="20"/>
        <v>0.9019187865651457</v>
      </c>
      <c r="I95" s="157"/>
    </row>
    <row r="96" spans="1:9" ht="15.75">
      <c r="A96" s="164"/>
      <c r="B96" s="165">
        <f>DATE(14,9,1)</f>
        <v>5358</v>
      </c>
      <c r="C96" s="226">
        <v>56572219.35</v>
      </c>
      <c r="D96" s="226">
        <v>5550911.7</v>
      </c>
      <c r="E96" s="226">
        <v>5751750.32</v>
      </c>
      <c r="F96" s="166">
        <f t="shared" si="18"/>
        <v>-0.03491782654432053</v>
      </c>
      <c r="G96" s="241">
        <f t="shared" si="19"/>
        <v>0.0981208049423997</v>
      </c>
      <c r="H96" s="242">
        <f t="shared" si="20"/>
        <v>0.9018791950576003</v>
      </c>
      <c r="I96" s="157"/>
    </row>
    <row r="97" spans="1:9" ht="15.75">
      <c r="A97" s="164"/>
      <c r="B97" s="165">
        <f>DATE(14,10,1)</f>
        <v>5388</v>
      </c>
      <c r="C97" s="226">
        <v>58469922.3</v>
      </c>
      <c r="D97" s="226">
        <v>5944105.8</v>
      </c>
      <c r="E97" s="226">
        <v>5712648.26</v>
      </c>
      <c r="F97" s="166">
        <f t="shared" si="18"/>
        <v>0.04051667973690368</v>
      </c>
      <c r="G97" s="241">
        <f t="shared" si="19"/>
        <v>0.10166091498295013</v>
      </c>
      <c r="H97" s="242">
        <f t="shared" si="20"/>
        <v>0.8983390850170498</v>
      </c>
      <c r="I97" s="157"/>
    </row>
    <row r="98" spans="1:9" ht="15.75">
      <c r="A98" s="164"/>
      <c r="B98" s="165">
        <f>DATE(14,11,1)</f>
        <v>5419</v>
      </c>
      <c r="C98" s="226">
        <v>56240335.28</v>
      </c>
      <c r="D98" s="226">
        <v>5844944.52</v>
      </c>
      <c r="E98" s="226">
        <v>5648709.01</v>
      </c>
      <c r="F98" s="166">
        <f t="shared" si="18"/>
        <v>0.034739886521433644</v>
      </c>
      <c r="G98" s="241">
        <f t="shared" si="19"/>
        <v>0.10392798141938814</v>
      </c>
      <c r="H98" s="242">
        <f t="shared" si="20"/>
        <v>0.8960720185806119</v>
      </c>
      <c r="I98" s="157"/>
    </row>
    <row r="99" spans="1:9" ht="15.75">
      <c r="A99" s="164"/>
      <c r="B99" s="165">
        <f>DATE(14,12,1)</f>
        <v>5449</v>
      </c>
      <c r="C99" s="226">
        <v>58600676.5</v>
      </c>
      <c r="D99" s="226">
        <v>6290788.33</v>
      </c>
      <c r="E99" s="226">
        <v>5277704.11</v>
      </c>
      <c r="F99" s="166">
        <f t="shared" si="18"/>
        <v>0.19195547891372783</v>
      </c>
      <c r="G99" s="241">
        <f t="shared" si="19"/>
        <v>0.10735009740032608</v>
      </c>
      <c r="H99" s="242">
        <f t="shared" si="20"/>
        <v>0.8926499025996739</v>
      </c>
      <c r="I99" s="157"/>
    </row>
    <row r="100" spans="1:9" ht="15.75">
      <c r="A100" s="164"/>
      <c r="B100" s="165">
        <f>DATE(15,1,1)</f>
        <v>5480</v>
      </c>
      <c r="C100" s="226">
        <v>55789999.25</v>
      </c>
      <c r="D100" s="226">
        <v>6008621.59</v>
      </c>
      <c r="E100" s="226">
        <v>5060424.44</v>
      </c>
      <c r="F100" s="166">
        <f t="shared" si="18"/>
        <v>0.18737502382310037</v>
      </c>
      <c r="G100" s="241">
        <f t="shared" si="19"/>
        <v>0.10770069314887112</v>
      </c>
      <c r="H100" s="242">
        <f t="shared" si="20"/>
        <v>0.8922993068511289</v>
      </c>
      <c r="I100" s="157"/>
    </row>
    <row r="101" spans="1:9" ht="15.75">
      <c r="A101" s="164"/>
      <c r="B101" s="165">
        <f>DATE(15,2,1)</f>
        <v>5511</v>
      </c>
      <c r="C101" s="226">
        <v>58570671.99</v>
      </c>
      <c r="D101" s="226">
        <v>6384718.51</v>
      </c>
      <c r="E101" s="226">
        <v>5952357.54</v>
      </c>
      <c r="F101" s="166">
        <f t="shared" si="18"/>
        <v>0.07263692866137872</v>
      </c>
      <c r="G101" s="241">
        <f t="shared" si="19"/>
        <v>0.10900879728834403</v>
      </c>
      <c r="H101" s="242">
        <f t="shared" si="20"/>
        <v>0.890991202711656</v>
      </c>
      <c r="I101" s="157"/>
    </row>
    <row r="102" spans="1:9" ht="15.75">
      <c r="A102" s="164"/>
      <c r="B102" s="165">
        <f>DATE(15,3,1)</f>
        <v>5539</v>
      </c>
      <c r="C102" s="226">
        <v>63376167.53</v>
      </c>
      <c r="D102" s="226">
        <v>6835787.04</v>
      </c>
      <c r="E102" s="226">
        <v>6992650.03</v>
      </c>
      <c r="F102" s="166">
        <f t="shared" si="18"/>
        <v>-0.022432552655577448</v>
      </c>
      <c r="G102" s="241">
        <f t="shared" si="19"/>
        <v>0.10786053032891559</v>
      </c>
      <c r="H102" s="242">
        <f t="shared" si="20"/>
        <v>0.8921394696710844</v>
      </c>
      <c r="I102" s="157"/>
    </row>
    <row r="103" spans="1:9" ht="15.75">
      <c r="A103" s="164"/>
      <c r="B103" s="165">
        <f>DATE(15,4,1)</f>
        <v>5570</v>
      </c>
      <c r="C103" s="226">
        <v>59830871.21</v>
      </c>
      <c r="D103" s="226">
        <v>6122006.99</v>
      </c>
      <c r="E103" s="226">
        <v>5941264.71</v>
      </c>
      <c r="F103" s="166">
        <f t="shared" si="18"/>
        <v>0.030421516095013423</v>
      </c>
      <c r="G103" s="241">
        <f t="shared" si="19"/>
        <v>0.10232187608487943</v>
      </c>
      <c r="H103" s="242">
        <f t="shared" si="20"/>
        <v>0.8976781239151206</v>
      </c>
      <c r="I103" s="157"/>
    </row>
    <row r="104" spans="1:9" ht="15.75">
      <c r="A104" s="164"/>
      <c r="B104" s="165">
        <f>DATE(15,5,1)</f>
        <v>5600</v>
      </c>
      <c r="C104" s="226">
        <v>61344740.68</v>
      </c>
      <c r="D104" s="226">
        <v>6512075.23</v>
      </c>
      <c r="E104" s="226">
        <v>6161383.11</v>
      </c>
      <c r="F104" s="166">
        <f t="shared" si="18"/>
        <v>0.05691775916852541</v>
      </c>
      <c r="G104" s="241">
        <f t="shared" si="19"/>
        <v>0.10615539584672347</v>
      </c>
      <c r="H104" s="242">
        <f t="shared" si="20"/>
        <v>0.8938446041532765</v>
      </c>
      <c r="I104" s="157"/>
    </row>
    <row r="105" spans="1:9" ht="15.75" thickBot="1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7.25" thickBot="1" thickTop="1">
      <c r="A106" s="174" t="s">
        <v>14</v>
      </c>
      <c r="B106" s="175"/>
      <c r="C106" s="228">
        <f>SUM(C94:C105)</f>
        <v>652062955.8499999</v>
      </c>
      <c r="D106" s="230">
        <f>SUM(D94:D105)</f>
        <v>67589920.8</v>
      </c>
      <c r="E106" s="273">
        <f>SUM(E94:E105)</f>
        <v>64811915.699999996</v>
      </c>
      <c r="F106" s="274">
        <f>(+D106-E106)/E106</f>
        <v>0.04286256732263203</v>
      </c>
      <c r="G106" s="249">
        <f>D106/C106</f>
        <v>0.1036555139248676</v>
      </c>
      <c r="H106" s="272">
        <f>1-G106</f>
        <v>0.8963444860751324</v>
      </c>
      <c r="I106" s="157"/>
    </row>
    <row r="107" spans="1:9" ht="15.75" thickTop="1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.75">
      <c r="A108" s="164" t="s">
        <v>69</v>
      </c>
      <c r="B108" s="165">
        <f>DATE(14,7,1)</f>
        <v>5296</v>
      </c>
      <c r="C108" s="226">
        <v>104005398.62</v>
      </c>
      <c r="D108" s="226">
        <v>9639064.75</v>
      </c>
      <c r="E108" s="226">
        <v>9316238.5</v>
      </c>
      <c r="F108" s="166">
        <f aca="true" t="shared" si="21" ref="F108:F118">(+D108-E108)/E108</f>
        <v>0.03465199500850048</v>
      </c>
      <c r="G108" s="241">
        <f aca="true" t="shared" si="22" ref="G108:G118">D108/C108</f>
        <v>0.09267850398052731</v>
      </c>
      <c r="H108" s="242">
        <f aca="true" t="shared" si="23" ref="H108:H118">1-G108</f>
        <v>0.9073214960194727</v>
      </c>
      <c r="I108" s="157"/>
    </row>
    <row r="109" spans="1:9" ht="15.75">
      <c r="A109" s="164"/>
      <c r="B109" s="165">
        <f>DATE(14,8,1)</f>
        <v>5327</v>
      </c>
      <c r="C109" s="226">
        <v>107884157.6</v>
      </c>
      <c r="D109" s="226">
        <v>10229616.31</v>
      </c>
      <c r="E109" s="226">
        <v>9960399.32</v>
      </c>
      <c r="F109" s="166">
        <f t="shared" si="21"/>
        <v>0.0270287346270772</v>
      </c>
      <c r="G109" s="241">
        <f t="shared" si="22"/>
        <v>0.09482037527630471</v>
      </c>
      <c r="H109" s="242">
        <f t="shared" si="23"/>
        <v>0.9051796247236953</v>
      </c>
      <c r="I109" s="157"/>
    </row>
    <row r="110" spans="1:9" ht="15.75">
      <c r="A110" s="164"/>
      <c r="B110" s="165">
        <f>DATE(14,9,1)</f>
        <v>5358</v>
      </c>
      <c r="C110" s="226">
        <v>92232098.78</v>
      </c>
      <c r="D110" s="226">
        <v>9028912.84</v>
      </c>
      <c r="E110" s="226">
        <v>9113118.4</v>
      </c>
      <c r="F110" s="166">
        <f t="shared" si="21"/>
        <v>-0.009240037965489455</v>
      </c>
      <c r="G110" s="241">
        <f t="shared" si="22"/>
        <v>0.09789339025599478</v>
      </c>
      <c r="H110" s="242">
        <f t="shared" si="23"/>
        <v>0.9021066097440053</v>
      </c>
      <c r="I110" s="157"/>
    </row>
    <row r="111" spans="1:9" ht="15.75">
      <c r="A111" s="164"/>
      <c r="B111" s="165">
        <f>DATE(14,10,1)</f>
        <v>5388</v>
      </c>
      <c r="C111" s="226">
        <v>93570671.55</v>
      </c>
      <c r="D111" s="226">
        <v>9235960.54</v>
      </c>
      <c r="E111" s="226">
        <v>8872089.6</v>
      </c>
      <c r="F111" s="166">
        <f t="shared" si="21"/>
        <v>0.041012992023885725</v>
      </c>
      <c r="G111" s="241">
        <f t="shared" si="22"/>
        <v>0.09870572036094358</v>
      </c>
      <c r="H111" s="242">
        <f t="shared" si="23"/>
        <v>0.9012942796390564</v>
      </c>
      <c r="I111" s="157"/>
    </row>
    <row r="112" spans="1:9" ht="15.75">
      <c r="A112" s="164"/>
      <c r="B112" s="165">
        <f>DATE(14,11,1)</f>
        <v>5419</v>
      </c>
      <c r="C112" s="226">
        <v>84014906.01</v>
      </c>
      <c r="D112" s="226">
        <v>8289760.87</v>
      </c>
      <c r="E112" s="226">
        <v>9320105.3</v>
      </c>
      <c r="F112" s="166">
        <f t="shared" si="21"/>
        <v>-0.11055072843436657</v>
      </c>
      <c r="G112" s="241">
        <f t="shared" si="22"/>
        <v>0.09867012014526683</v>
      </c>
      <c r="H112" s="242">
        <f t="shared" si="23"/>
        <v>0.9013298798547331</v>
      </c>
      <c r="I112" s="157"/>
    </row>
    <row r="113" spans="1:9" ht="15.75">
      <c r="A113" s="164"/>
      <c r="B113" s="165">
        <f>DATE(14,12,1)</f>
        <v>5449</v>
      </c>
      <c r="C113" s="226">
        <v>88724625.79</v>
      </c>
      <c r="D113" s="226">
        <v>8425465.61</v>
      </c>
      <c r="E113" s="226">
        <v>9209982.96</v>
      </c>
      <c r="F113" s="166">
        <f t="shared" si="21"/>
        <v>-0.08518119451547838</v>
      </c>
      <c r="G113" s="241">
        <f t="shared" si="22"/>
        <v>0.09496197402896929</v>
      </c>
      <c r="H113" s="242">
        <f t="shared" si="23"/>
        <v>0.9050380259710307</v>
      </c>
      <c r="I113" s="157"/>
    </row>
    <row r="114" spans="1:9" ht="15.75">
      <c r="A114" s="164"/>
      <c r="B114" s="165">
        <f>DATE(15,1,1)</f>
        <v>5480</v>
      </c>
      <c r="C114" s="226">
        <v>87384212.36</v>
      </c>
      <c r="D114" s="226">
        <v>8451863.57</v>
      </c>
      <c r="E114" s="226">
        <v>8053754.74</v>
      </c>
      <c r="F114" s="166">
        <f t="shared" si="21"/>
        <v>0.04943145686107646</v>
      </c>
      <c r="G114" s="241">
        <f t="shared" si="22"/>
        <v>0.09672071581054645</v>
      </c>
      <c r="H114" s="242">
        <f t="shared" si="23"/>
        <v>0.9032792841894536</v>
      </c>
      <c r="I114" s="157"/>
    </row>
    <row r="115" spans="1:9" ht="15.75">
      <c r="A115" s="164"/>
      <c r="B115" s="165">
        <f>DATE(15,2,1)</f>
        <v>5511</v>
      </c>
      <c r="C115" s="226">
        <v>95772974.04</v>
      </c>
      <c r="D115" s="226">
        <v>9072328.77</v>
      </c>
      <c r="E115" s="226">
        <v>10021868.85</v>
      </c>
      <c r="F115" s="166">
        <f t="shared" si="21"/>
        <v>-0.09474680762760132</v>
      </c>
      <c r="G115" s="241">
        <f t="shared" si="22"/>
        <v>0.09472744123212569</v>
      </c>
      <c r="H115" s="242">
        <f t="shared" si="23"/>
        <v>0.9052725587678743</v>
      </c>
      <c r="I115" s="157"/>
    </row>
    <row r="116" spans="1:9" ht="15.75">
      <c r="A116" s="164"/>
      <c r="B116" s="165">
        <f>DATE(15,3,1)</f>
        <v>5539</v>
      </c>
      <c r="C116" s="226">
        <v>101626224.62</v>
      </c>
      <c r="D116" s="226">
        <v>9835373.59</v>
      </c>
      <c r="E116" s="226">
        <v>9955259.64</v>
      </c>
      <c r="F116" s="166">
        <f t="shared" si="21"/>
        <v>-0.01204248350472964</v>
      </c>
      <c r="G116" s="241">
        <f t="shared" si="22"/>
        <v>0.09677987770161052</v>
      </c>
      <c r="H116" s="242">
        <f t="shared" si="23"/>
        <v>0.9032201222983894</v>
      </c>
      <c r="I116" s="157"/>
    </row>
    <row r="117" spans="1:9" ht="15.75">
      <c r="A117" s="164"/>
      <c r="B117" s="165">
        <f>DATE(15,4,1)</f>
        <v>5570</v>
      </c>
      <c r="C117" s="226">
        <v>95352136.08</v>
      </c>
      <c r="D117" s="226">
        <v>9054591.07</v>
      </c>
      <c r="E117" s="226">
        <v>9186049.33</v>
      </c>
      <c r="F117" s="166">
        <f t="shared" si="21"/>
        <v>-0.01431064163466666</v>
      </c>
      <c r="G117" s="241">
        <f t="shared" si="22"/>
        <v>0.09495949899227471</v>
      </c>
      <c r="H117" s="242">
        <f t="shared" si="23"/>
        <v>0.9050405010077253</v>
      </c>
      <c r="I117" s="157"/>
    </row>
    <row r="118" spans="1:9" ht="15.75">
      <c r="A118" s="164"/>
      <c r="B118" s="165">
        <f>DATE(15,5,1)</f>
        <v>5600</v>
      </c>
      <c r="C118" s="226">
        <v>101851603.99</v>
      </c>
      <c r="D118" s="226">
        <v>9199729.07</v>
      </c>
      <c r="E118" s="226">
        <v>11521542.48</v>
      </c>
      <c r="F118" s="166">
        <f t="shared" si="21"/>
        <v>-0.2015193203540573</v>
      </c>
      <c r="G118" s="241">
        <f t="shared" si="22"/>
        <v>0.0903248324975152</v>
      </c>
      <c r="H118" s="242">
        <f t="shared" si="23"/>
        <v>0.9096751675024848</v>
      </c>
      <c r="I118" s="157"/>
    </row>
    <row r="119" spans="1:9" ht="15.75" thickBot="1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7.25" thickBot="1" thickTop="1">
      <c r="A120" s="174" t="s">
        <v>14</v>
      </c>
      <c r="B120" s="175"/>
      <c r="C120" s="228">
        <f>SUM(C108:C119)</f>
        <v>1052419009.44</v>
      </c>
      <c r="D120" s="230">
        <f>SUM(D108:D119)</f>
        <v>100462666.98999998</v>
      </c>
      <c r="E120" s="273">
        <f>SUM(E108:E119)</f>
        <v>104530409.12</v>
      </c>
      <c r="F120" s="176">
        <f>(+D120-E120)/E120</f>
        <v>-0.038914438049604226</v>
      </c>
      <c r="G120" s="249">
        <f>D120/C120</f>
        <v>0.09545881069124446</v>
      </c>
      <c r="H120" s="272">
        <f>1-G120</f>
        <v>0.9045411893087556</v>
      </c>
      <c r="I120" s="157"/>
    </row>
    <row r="121" spans="1:9" ht="15.75" thickTop="1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.75">
      <c r="A122" s="164" t="s">
        <v>18</v>
      </c>
      <c r="B122" s="165">
        <f>DATE(14,7,1)</f>
        <v>5296</v>
      </c>
      <c r="C122" s="226">
        <v>170865857.98</v>
      </c>
      <c r="D122" s="226">
        <v>15576345.16</v>
      </c>
      <c r="E122" s="226">
        <v>15123973.77</v>
      </c>
      <c r="F122" s="166">
        <f aca="true" t="shared" si="24" ref="F122:F132">(+D122-E122)/E122</f>
        <v>0.029910881682255166</v>
      </c>
      <c r="G122" s="241">
        <f aca="true" t="shared" si="25" ref="G122:G132">D122/C122</f>
        <v>0.09116124979060021</v>
      </c>
      <c r="H122" s="242">
        <f aca="true" t="shared" si="26" ref="H122:H132">1-G122</f>
        <v>0.9088387502093997</v>
      </c>
      <c r="I122" s="157"/>
    </row>
    <row r="123" spans="1:9" ht="15.75">
      <c r="A123" s="164"/>
      <c r="B123" s="165">
        <f>DATE(14,8,1)</f>
        <v>5327</v>
      </c>
      <c r="C123" s="226">
        <v>169332893.02</v>
      </c>
      <c r="D123" s="226">
        <v>15506824.22</v>
      </c>
      <c r="E123" s="226">
        <v>16093372.8</v>
      </c>
      <c r="F123" s="166">
        <f t="shared" si="24"/>
        <v>-0.036446591232883144</v>
      </c>
      <c r="G123" s="241">
        <f t="shared" si="25"/>
        <v>0.09157597170544107</v>
      </c>
      <c r="H123" s="242">
        <f t="shared" si="26"/>
        <v>0.9084240282945589</v>
      </c>
      <c r="I123" s="157"/>
    </row>
    <row r="124" spans="1:9" ht="15.75">
      <c r="A124" s="164"/>
      <c r="B124" s="165">
        <f>DATE(14,9,1)</f>
        <v>5358</v>
      </c>
      <c r="C124" s="226">
        <v>145865100.6</v>
      </c>
      <c r="D124" s="226">
        <v>12960092.39</v>
      </c>
      <c r="E124" s="226">
        <v>14433081.53</v>
      </c>
      <c r="F124" s="166">
        <f t="shared" si="24"/>
        <v>-0.10205645529946637</v>
      </c>
      <c r="G124" s="241">
        <f t="shared" si="25"/>
        <v>0.08884985055842755</v>
      </c>
      <c r="H124" s="242">
        <f t="shared" si="26"/>
        <v>0.9111501494415725</v>
      </c>
      <c r="I124" s="157"/>
    </row>
    <row r="125" spans="1:9" ht="15.75">
      <c r="A125" s="164"/>
      <c r="B125" s="165">
        <f>DATE(14,10,1)</f>
        <v>5388</v>
      </c>
      <c r="C125" s="226">
        <v>149099428.91</v>
      </c>
      <c r="D125" s="226">
        <v>13690052.84</v>
      </c>
      <c r="E125" s="226">
        <v>14186944.14</v>
      </c>
      <c r="F125" s="166">
        <f t="shared" si="24"/>
        <v>-0.03502454757674127</v>
      </c>
      <c r="G125" s="241">
        <f t="shared" si="25"/>
        <v>0.0918182781790777</v>
      </c>
      <c r="H125" s="242">
        <f t="shared" si="26"/>
        <v>0.9081817218209223</v>
      </c>
      <c r="I125" s="157"/>
    </row>
    <row r="126" spans="1:9" ht="15.75">
      <c r="A126" s="164"/>
      <c r="B126" s="165">
        <f>DATE(14,11,1)</f>
        <v>5419</v>
      </c>
      <c r="C126" s="226">
        <v>149890968.41</v>
      </c>
      <c r="D126" s="226">
        <v>12590815.7</v>
      </c>
      <c r="E126" s="226">
        <v>14454416.22</v>
      </c>
      <c r="F126" s="166">
        <f t="shared" si="24"/>
        <v>-0.12892949058858644</v>
      </c>
      <c r="G126" s="241">
        <f t="shared" si="25"/>
        <v>0.08399982889936417</v>
      </c>
      <c r="H126" s="242">
        <f t="shared" si="26"/>
        <v>0.9160001711006358</v>
      </c>
      <c r="I126" s="157"/>
    </row>
    <row r="127" spans="1:9" ht="15.75">
      <c r="A127" s="164"/>
      <c r="B127" s="165">
        <f>DATE(14,12,1)</f>
        <v>5449</v>
      </c>
      <c r="C127" s="226">
        <v>152739129.93</v>
      </c>
      <c r="D127" s="226">
        <v>13628228.8</v>
      </c>
      <c r="E127" s="226">
        <v>13901758.82</v>
      </c>
      <c r="F127" s="166">
        <f t="shared" si="24"/>
        <v>-0.01967592903471185</v>
      </c>
      <c r="G127" s="241">
        <f t="shared" si="25"/>
        <v>0.0892255233236289</v>
      </c>
      <c r="H127" s="242">
        <f t="shared" si="26"/>
        <v>0.9107744766763711</v>
      </c>
      <c r="I127" s="157"/>
    </row>
    <row r="128" spans="1:9" ht="15.75">
      <c r="A128" s="164"/>
      <c r="B128" s="165">
        <f>DATE(15,1,1)</f>
        <v>5480</v>
      </c>
      <c r="C128" s="226">
        <v>154335079</v>
      </c>
      <c r="D128" s="226">
        <v>14350682.71</v>
      </c>
      <c r="E128" s="226">
        <v>13381962.11</v>
      </c>
      <c r="F128" s="166">
        <f t="shared" si="24"/>
        <v>0.0723900271153885</v>
      </c>
      <c r="G128" s="241">
        <f t="shared" si="25"/>
        <v>0.09298393341931034</v>
      </c>
      <c r="H128" s="242">
        <f t="shared" si="26"/>
        <v>0.9070160665806897</v>
      </c>
      <c r="I128" s="157"/>
    </row>
    <row r="129" spans="1:9" ht="15.75">
      <c r="A129" s="164"/>
      <c r="B129" s="165">
        <f>DATE(15,2,1)</f>
        <v>5511</v>
      </c>
      <c r="C129" s="226">
        <v>148774481.44</v>
      </c>
      <c r="D129" s="226">
        <v>13664742.51</v>
      </c>
      <c r="E129" s="226">
        <v>14029700.05</v>
      </c>
      <c r="F129" s="166">
        <f t="shared" si="24"/>
        <v>-0.02601321045349084</v>
      </c>
      <c r="G129" s="241">
        <f t="shared" si="25"/>
        <v>0.09184869863257378</v>
      </c>
      <c r="H129" s="242">
        <f t="shared" si="26"/>
        <v>0.9081513013674263</v>
      </c>
      <c r="I129" s="157"/>
    </row>
    <row r="130" spans="1:9" ht="15.75">
      <c r="A130" s="164"/>
      <c r="B130" s="165">
        <f>DATE(15,3,1)</f>
        <v>5539</v>
      </c>
      <c r="C130" s="226">
        <v>165764589.39</v>
      </c>
      <c r="D130" s="226">
        <v>15101656.65</v>
      </c>
      <c r="E130" s="226">
        <v>15783990.85</v>
      </c>
      <c r="F130" s="166">
        <f t="shared" si="24"/>
        <v>-0.04322951061518129</v>
      </c>
      <c r="G130" s="241">
        <f t="shared" si="25"/>
        <v>0.09110303174865543</v>
      </c>
      <c r="H130" s="242">
        <f t="shared" si="26"/>
        <v>0.9088969682513446</v>
      </c>
      <c r="I130" s="157"/>
    </row>
    <row r="131" spans="1:9" ht="15.75">
      <c r="A131" s="164"/>
      <c r="B131" s="165">
        <f>DATE(15,4,1)</f>
        <v>5570</v>
      </c>
      <c r="C131" s="226">
        <v>158349892.86</v>
      </c>
      <c r="D131" s="226">
        <v>14553113.48</v>
      </c>
      <c r="E131" s="226">
        <v>14341335.26</v>
      </c>
      <c r="F131" s="166">
        <f t="shared" si="24"/>
        <v>0.01476698063050516</v>
      </c>
      <c r="G131" s="241">
        <f t="shared" si="25"/>
        <v>0.09190478892755974</v>
      </c>
      <c r="H131" s="242">
        <f t="shared" si="26"/>
        <v>0.9080952110724403</v>
      </c>
      <c r="I131" s="157"/>
    </row>
    <row r="132" spans="1:9" ht="15.75">
      <c r="A132" s="164"/>
      <c r="B132" s="165">
        <f>DATE(15,5,1)</f>
        <v>5600</v>
      </c>
      <c r="C132" s="226">
        <v>173527283.03</v>
      </c>
      <c r="D132" s="226">
        <v>15829770.46</v>
      </c>
      <c r="E132" s="226">
        <v>15091884.32</v>
      </c>
      <c r="F132" s="166">
        <f t="shared" si="24"/>
        <v>0.04889290988151442</v>
      </c>
      <c r="G132" s="241">
        <f t="shared" si="25"/>
        <v>0.09122352510563596</v>
      </c>
      <c r="H132" s="242">
        <f t="shared" si="26"/>
        <v>0.9087764748943641</v>
      </c>
      <c r="I132" s="157"/>
    </row>
    <row r="133" spans="1:9" ht="15.75" customHeight="1" thickBot="1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7.25" thickBot="1" thickTop="1">
      <c r="A134" s="174" t="s">
        <v>14</v>
      </c>
      <c r="B134" s="181"/>
      <c r="C134" s="228">
        <f>SUM(C122:C133)</f>
        <v>1738544704.57</v>
      </c>
      <c r="D134" s="228">
        <f>SUM(D122:D133)</f>
        <v>157452324.92000002</v>
      </c>
      <c r="E134" s="228">
        <f>SUM(E122:E133)</f>
        <v>160822419.86999997</v>
      </c>
      <c r="F134" s="176">
        <f>(+D134-E134)/E134</f>
        <v>-0.020955380180973263</v>
      </c>
      <c r="G134" s="245">
        <f>D134/C134</f>
        <v>0.09056558885492866</v>
      </c>
      <c r="H134" s="246">
        <f>1-G134</f>
        <v>0.9094344111450714</v>
      </c>
      <c r="I134" s="157"/>
    </row>
    <row r="135" spans="1:9" ht="15.75" thickTop="1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.75">
      <c r="A136" s="164" t="s">
        <v>58</v>
      </c>
      <c r="B136" s="165">
        <f>DATE(14,7,1)</f>
        <v>5296</v>
      </c>
      <c r="C136" s="226">
        <v>178234462.9</v>
      </c>
      <c r="D136" s="226">
        <v>15819821.05</v>
      </c>
      <c r="E136" s="226">
        <v>14863761.06</v>
      </c>
      <c r="F136" s="166">
        <f aca="true" t="shared" si="27" ref="F136:F146">(+D136-E136)/E136</f>
        <v>0.06432153922151385</v>
      </c>
      <c r="G136" s="241">
        <f aca="true" t="shared" si="28" ref="G136:G146">D136/C136</f>
        <v>0.08875848583152995</v>
      </c>
      <c r="H136" s="242">
        <f aca="true" t="shared" si="29" ref="H136:H146">1-G136</f>
        <v>0.91124151416847</v>
      </c>
      <c r="I136" s="157"/>
    </row>
    <row r="137" spans="1:9" ht="15.75">
      <c r="A137" s="164"/>
      <c r="B137" s="165">
        <f>DATE(14,8,1)</f>
        <v>5327</v>
      </c>
      <c r="C137" s="226">
        <v>191683237.99</v>
      </c>
      <c r="D137" s="226">
        <v>17009683.77</v>
      </c>
      <c r="E137" s="226">
        <v>16316843.81</v>
      </c>
      <c r="F137" s="166">
        <f t="shared" si="27"/>
        <v>0.04246164074791122</v>
      </c>
      <c r="G137" s="241">
        <f t="shared" si="28"/>
        <v>0.08873850394204727</v>
      </c>
      <c r="H137" s="242">
        <f t="shared" si="29"/>
        <v>0.9112614960579527</v>
      </c>
      <c r="I137" s="157"/>
    </row>
    <row r="138" spans="1:9" ht="15.75">
      <c r="A138" s="164"/>
      <c r="B138" s="165">
        <f>DATE(14,9,1)</f>
        <v>5358</v>
      </c>
      <c r="C138" s="226">
        <v>161926951.08</v>
      </c>
      <c r="D138" s="226">
        <v>14534184.86</v>
      </c>
      <c r="E138" s="226">
        <v>15465402.22</v>
      </c>
      <c r="F138" s="166">
        <f t="shared" si="27"/>
        <v>-0.06021294155516643</v>
      </c>
      <c r="G138" s="241">
        <f t="shared" si="28"/>
        <v>0.08975766395316975</v>
      </c>
      <c r="H138" s="242">
        <f t="shared" si="29"/>
        <v>0.9102423360468302</v>
      </c>
      <c r="I138" s="157"/>
    </row>
    <row r="139" spans="1:9" ht="15.75">
      <c r="A139" s="164"/>
      <c r="B139" s="165">
        <f>DATE(14,10,1)</f>
        <v>5388</v>
      </c>
      <c r="C139" s="226">
        <v>171491689.17</v>
      </c>
      <c r="D139" s="226">
        <v>15429362.82</v>
      </c>
      <c r="E139" s="226">
        <v>15048636.17</v>
      </c>
      <c r="F139" s="166">
        <f t="shared" si="27"/>
        <v>0.025299744488407043</v>
      </c>
      <c r="G139" s="241">
        <f t="shared" si="28"/>
        <v>0.08997149013270753</v>
      </c>
      <c r="H139" s="242">
        <f t="shared" si="29"/>
        <v>0.9100285098672924</v>
      </c>
      <c r="I139" s="157"/>
    </row>
    <row r="140" spans="1:9" ht="15.75">
      <c r="A140" s="164"/>
      <c r="B140" s="165">
        <f>DATE(14,11,1)</f>
        <v>5419</v>
      </c>
      <c r="C140" s="226">
        <v>163009625.74</v>
      </c>
      <c r="D140" s="226">
        <v>15452261.49</v>
      </c>
      <c r="E140" s="226">
        <v>15888829.39</v>
      </c>
      <c r="F140" s="166">
        <f t="shared" si="27"/>
        <v>-0.02747640428908906</v>
      </c>
      <c r="G140" s="241">
        <f t="shared" si="28"/>
        <v>0.09479355234301515</v>
      </c>
      <c r="H140" s="242">
        <f t="shared" si="29"/>
        <v>0.9052064476569849</v>
      </c>
      <c r="I140" s="157"/>
    </row>
    <row r="141" spans="1:9" ht="15.75">
      <c r="A141" s="164"/>
      <c r="B141" s="165">
        <f>DATE(14,12,1)</f>
        <v>5449</v>
      </c>
      <c r="C141" s="226">
        <v>173179147.46</v>
      </c>
      <c r="D141" s="226">
        <v>15509961.32</v>
      </c>
      <c r="E141" s="226">
        <v>14692024.87</v>
      </c>
      <c r="F141" s="166">
        <f t="shared" si="27"/>
        <v>0.05567213894867312</v>
      </c>
      <c r="G141" s="241">
        <f t="shared" si="28"/>
        <v>0.0895602129210297</v>
      </c>
      <c r="H141" s="242">
        <f t="shared" si="29"/>
        <v>0.9104397870789703</v>
      </c>
      <c r="I141" s="157"/>
    </row>
    <row r="142" spans="1:9" ht="15.75">
      <c r="A142" s="164"/>
      <c r="B142" s="165">
        <f>DATE(15,1,1)</f>
        <v>5480</v>
      </c>
      <c r="C142" s="226">
        <v>175411634.12</v>
      </c>
      <c r="D142" s="226">
        <v>15949660.58</v>
      </c>
      <c r="E142" s="226">
        <v>13981469.01</v>
      </c>
      <c r="F142" s="166">
        <f t="shared" si="27"/>
        <v>0.1407714431575313</v>
      </c>
      <c r="G142" s="241">
        <f t="shared" si="28"/>
        <v>0.09092703947498006</v>
      </c>
      <c r="H142" s="242">
        <f t="shared" si="29"/>
        <v>0.90907296052502</v>
      </c>
      <c r="I142" s="157"/>
    </row>
    <row r="143" spans="1:9" ht="15.75">
      <c r="A143" s="164"/>
      <c r="B143" s="165">
        <f>DATE(15,2,1)</f>
        <v>5511</v>
      </c>
      <c r="C143" s="226">
        <v>171072765.69</v>
      </c>
      <c r="D143" s="226">
        <v>15158603.75</v>
      </c>
      <c r="E143" s="226">
        <v>14936500.92</v>
      </c>
      <c r="F143" s="166">
        <f t="shared" si="27"/>
        <v>0.014869803255098657</v>
      </c>
      <c r="G143" s="241">
        <f t="shared" si="28"/>
        <v>0.08860909969427175</v>
      </c>
      <c r="H143" s="242">
        <f t="shared" si="29"/>
        <v>0.9113909003057282</v>
      </c>
      <c r="I143" s="157"/>
    </row>
    <row r="144" spans="1:9" ht="15.75">
      <c r="A144" s="164"/>
      <c r="B144" s="165">
        <f>DATE(15,3,1)</f>
        <v>5539</v>
      </c>
      <c r="C144" s="226">
        <v>192770110.15</v>
      </c>
      <c r="D144" s="226">
        <v>17456091.56</v>
      </c>
      <c r="E144" s="226">
        <v>17274804</v>
      </c>
      <c r="F144" s="166">
        <f t="shared" si="27"/>
        <v>0.010494333828621074</v>
      </c>
      <c r="G144" s="241">
        <f t="shared" si="28"/>
        <v>0.09055393259057075</v>
      </c>
      <c r="H144" s="242">
        <f t="shared" si="29"/>
        <v>0.9094460674094292</v>
      </c>
      <c r="I144" s="157"/>
    </row>
    <row r="145" spans="1:9" ht="15.75">
      <c r="A145" s="164"/>
      <c r="B145" s="165">
        <f>DATE(15,4,1)</f>
        <v>5570</v>
      </c>
      <c r="C145" s="226">
        <v>182327883.15</v>
      </c>
      <c r="D145" s="226">
        <v>16585206.85</v>
      </c>
      <c r="E145" s="226">
        <v>15649538.29</v>
      </c>
      <c r="F145" s="166">
        <f t="shared" si="27"/>
        <v>0.059788892340542056</v>
      </c>
      <c r="G145" s="241">
        <f t="shared" si="28"/>
        <v>0.09096363410502306</v>
      </c>
      <c r="H145" s="242">
        <f t="shared" si="29"/>
        <v>0.9090363658949769</v>
      </c>
      <c r="I145" s="157"/>
    </row>
    <row r="146" spans="1:9" ht="15.75">
      <c r="A146" s="164"/>
      <c r="B146" s="165">
        <f>DATE(15,5,1)</f>
        <v>5600</v>
      </c>
      <c r="C146" s="226">
        <v>182685957.81</v>
      </c>
      <c r="D146" s="226">
        <v>17438416.96</v>
      </c>
      <c r="E146" s="226">
        <v>16223500.11</v>
      </c>
      <c r="F146" s="166">
        <f t="shared" si="27"/>
        <v>0.07488623550790616</v>
      </c>
      <c r="G146" s="241">
        <f t="shared" si="28"/>
        <v>0.09545570534839128</v>
      </c>
      <c r="H146" s="242">
        <f t="shared" si="29"/>
        <v>0.9045442946516087</v>
      </c>
      <c r="I146" s="157"/>
    </row>
    <row r="147" spans="1:9" ht="15.75" thickBot="1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7.25" thickBot="1" thickTop="1">
      <c r="A148" s="174" t="s">
        <v>14</v>
      </c>
      <c r="B148" s="175"/>
      <c r="C148" s="228">
        <f>SUM(C136:C147)</f>
        <v>1943793465.2600002</v>
      </c>
      <c r="D148" s="228">
        <f>SUM(D136:D147)</f>
        <v>176343255.01</v>
      </c>
      <c r="E148" s="228">
        <f>SUM(E136:E147)</f>
        <v>170341309.85000002</v>
      </c>
      <c r="F148" s="176">
        <f>(+D148-E148)/E148</f>
        <v>0.03523481864314175</v>
      </c>
      <c r="G148" s="249">
        <f>D148/C148</f>
        <v>0.09072118934529522</v>
      </c>
      <c r="H148" s="272">
        <f>1-G148</f>
        <v>0.9092788106547047</v>
      </c>
      <c r="I148" s="157"/>
    </row>
    <row r="149" spans="1:9" ht="15.75" thickTop="1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.75">
      <c r="A150" s="164" t="s">
        <v>59</v>
      </c>
      <c r="B150" s="165">
        <f>DATE(14,7,1)</f>
        <v>5296</v>
      </c>
      <c r="C150" s="226">
        <v>31233936.53</v>
      </c>
      <c r="D150" s="226">
        <v>2839788.24</v>
      </c>
      <c r="E150" s="226">
        <v>2770760.02</v>
      </c>
      <c r="F150" s="166">
        <f aca="true" t="shared" si="30" ref="F150:F160">(+D150-E150)/E150</f>
        <v>0.02491309947513975</v>
      </c>
      <c r="G150" s="241">
        <f aca="true" t="shared" si="31" ref="G150:G160">D150/C150</f>
        <v>0.09091995936126723</v>
      </c>
      <c r="H150" s="242">
        <f aca="true" t="shared" si="32" ref="H150:H160">1-G150</f>
        <v>0.9090800406387327</v>
      </c>
      <c r="I150" s="157"/>
    </row>
    <row r="151" spans="1:9" ht="15.75">
      <c r="A151" s="164"/>
      <c r="B151" s="165">
        <f>DATE(14,8,1)</f>
        <v>5327</v>
      </c>
      <c r="C151" s="226">
        <v>32336581.91</v>
      </c>
      <c r="D151" s="226">
        <v>3005400.13</v>
      </c>
      <c r="E151" s="226">
        <v>2848021.81</v>
      </c>
      <c r="F151" s="166">
        <f t="shared" si="30"/>
        <v>0.05525881840069189</v>
      </c>
      <c r="G151" s="241">
        <f t="shared" si="31"/>
        <v>0.09294118154988384</v>
      </c>
      <c r="H151" s="242">
        <f t="shared" si="32"/>
        <v>0.9070588184501162</v>
      </c>
      <c r="I151" s="157"/>
    </row>
    <row r="152" spans="1:9" ht="15.75">
      <c r="A152" s="164"/>
      <c r="B152" s="165">
        <f>DATE(14,9,1)</f>
        <v>5358</v>
      </c>
      <c r="C152" s="226">
        <v>28267821.79</v>
      </c>
      <c r="D152" s="226">
        <v>2588664.34</v>
      </c>
      <c r="E152" s="226">
        <v>2655877.31</v>
      </c>
      <c r="F152" s="166">
        <f t="shared" si="30"/>
        <v>-0.025307257133801938</v>
      </c>
      <c r="G152" s="241">
        <f t="shared" si="31"/>
        <v>0.091576364080368</v>
      </c>
      <c r="H152" s="242">
        <f t="shared" si="32"/>
        <v>0.908423635919632</v>
      </c>
      <c r="I152" s="157"/>
    </row>
    <row r="153" spans="1:9" ht="15.75">
      <c r="A153" s="164"/>
      <c r="B153" s="165">
        <f>DATE(14,10,1)</f>
        <v>5388</v>
      </c>
      <c r="C153" s="226">
        <v>29499561.73</v>
      </c>
      <c r="D153" s="226">
        <v>2779309.1</v>
      </c>
      <c r="E153" s="226">
        <v>2691489.37</v>
      </c>
      <c r="F153" s="166">
        <f t="shared" si="30"/>
        <v>0.03262867428675744</v>
      </c>
      <c r="G153" s="241">
        <f t="shared" si="31"/>
        <v>0.09421526751611167</v>
      </c>
      <c r="H153" s="242">
        <f t="shared" si="32"/>
        <v>0.9057847324838884</v>
      </c>
      <c r="I153" s="157"/>
    </row>
    <row r="154" spans="1:9" ht="15.75">
      <c r="A154" s="164"/>
      <c r="B154" s="165">
        <f>DATE(14,11,1)</f>
        <v>5419</v>
      </c>
      <c r="C154" s="226">
        <v>28514071.56</v>
      </c>
      <c r="D154" s="226">
        <v>2575983.41</v>
      </c>
      <c r="E154" s="226">
        <v>2901304.87</v>
      </c>
      <c r="F154" s="166">
        <f t="shared" si="30"/>
        <v>-0.11212936060731872</v>
      </c>
      <c r="G154" s="241">
        <f t="shared" si="31"/>
        <v>0.0903407780463605</v>
      </c>
      <c r="H154" s="242">
        <f t="shared" si="32"/>
        <v>0.9096592219536395</v>
      </c>
      <c r="I154" s="157"/>
    </row>
    <row r="155" spans="1:9" ht="15.75">
      <c r="A155" s="164"/>
      <c r="B155" s="165">
        <f>DATE(14,12,1)</f>
        <v>5449</v>
      </c>
      <c r="C155" s="226">
        <v>30544702.7</v>
      </c>
      <c r="D155" s="226">
        <v>2806604.54</v>
      </c>
      <c r="E155" s="226">
        <v>2735774.77</v>
      </c>
      <c r="F155" s="166">
        <f t="shared" si="30"/>
        <v>0.02589020513556385</v>
      </c>
      <c r="G155" s="241">
        <f t="shared" si="31"/>
        <v>0.09188514838613898</v>
      </c>
      <c r="H155" s="242">
        <f t="shared" si="32"/>
        <v>0.9081148516138611</v>
      </c>
      <c r="I155" s="157"/>
    </row>
    <row r="156" spans="1:9" ht="15.75">
      <c r="A156" s="164"/>
      <c r="B156" s="165">
        <f>DATE(15,1,1)</f>
        <v>5480</v>
      </c>
      <c r="C156" s="226">
        <v>27008092.99</v>
      </c>
      <c r="D156" s="226">
        <v>2544696.23</v>
      </c>
      <c r="E156" s="226">
        <v>2493519.96</v>
      </c>
      <c r="F156" s="166">
        <f t="shared" si="30"/>
        <v>0.020523705773744846</v>
      </c>
      <c r="G156" s="241">
        <f t="shared" si="31"/>
        <v>0.09421976705064655</v>
      </c>
      <c r="H156" s="242">
        <f t="shared" si="32"/>
        <v>0.9057802329493534</v>
      </c>
      <c r="I156" s="157"/>
    </row>
    <row r="157" spans="1:9" ht="15.75">
      <c r="A157" s="164"/>
      <c r="B157" s="165">
        <f>DATE(15,2,1)</f>
        <v>5511</v>
      </c>
      <c r="C157" s="226">
        <v>27863557.05</v>
      </c>
      <c r="D157" s="226">
        <v>2707824.01</v>
      </c>
      <c r="E157" s="226">
        <v>2647555.77</v>
      </c>
      <c r="F157" s="166">
        <f t="shared" si="30"/>
        <v>0.02276372822167208</v>
      </c>
      <c r="G157" s="241">
        <f t="shared" si="31"/>
        <v>0.09718156246673465</v>
      </c>
      <c r="H157" s="242">
        <f t="shared" si="32"/>
        <v>0.9028184375332653</v>
      </c>
      <c r="I157" s="157"/>
    </row>
    <row r="158" spans="1:9" ht="15.75">
      <c r="A158" s="164"/>
      <c r="B158" s="165">
        <f>DATE(15,3,1)</f>
        <v>5539</v>
      </c>
      <c r="C158" s="226">
        <v>33269475.92</v>
      </c>
      <c r="D158" s="226">
        <v>3177937.82</v>
      </c>
      <c r="E158" s="226">
        <v>3211883.94</v>
      </c>
      <c r="F158" s="166">
        <f t="shared" si="30"/>
        <v>-0.010568912399742598</v>
      </c>
      <c r="G158" s="241">
        <f t="shared" si="31"/>
        <v>0.09552112656182772</v>
      </c>
      <c r="H158" s="242">
        <f t="shared" si="32"/>
        <v>0.9044788734381722</v>
      </c>
      <c r="I158" s="157"/>
    </row>
    <row r="159" spans="1:9" ht="15.75">
      <c r="A159" s="164"/>
      <c r="B159" s="165">
        <f>DATE(15,4,1)</f>
        <v>5570</v>
      </c>
      <c r="C159" s="226">
        <v>29761392.85</v>
      </c>
      <c r="D159" s="226">
        <v>2843455.92</v>
      </c>
      <c r="E159" s="226">
        <v>2894664.17</v>
      </c>
      <c r="F159" s="166">
        <f t="shared" si="30"/>
        <v>-0.017690566847345195</v>
      </c>
      <c r="G159" s="241">
        <f t="shared" si="31"/>
        <v>0.09554176225324078</v>
      </c>
      <c r="H159" s="242">
        <f t="shared" si="32"/>
        <v>0.9044582377467593</v>
      </c>
      <c r="I159" s="157"/>
    </row>
    <row r="160" spans="1:9" ht="15.75">
      <c r="A160" s="164"/>
      <c r="B160" s="165">
        <f>DATE(15,5,1)</f>
        <v>5600</v>
      </c>
      <c r="C160" s="226">
        <v>32367919.61</v>
      </c>
      <c r="D160" s="226">
        <v>3052131.89</v>
      </c>
      <c r="E160" s="226">
        <v>3258361.01</v>
      </c>
      <c r="F160" s="166">
        <f t="shared" si="30"/>
        <v>-0.06329228694029813</v>
      </c>
      <c r="G160" s="241">
        <f t="shared" si="31"/>
        <v>0.09429496633626866</v>
      </c>
      <c r="H160" s="242">
        <f t="shared" si="32"/>
        <v>0.9057050336637313</v>
      </c>
      <c r="I160" s="157"/>
    </row>
    <row r="161" spans="1:9" ht="15.75" thickBot="1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7.25" thickBot="1" thickTop="1">
      <c r="A162" s="182" t="s">
        <v>14</v>
      </c>
      <c r="B162" s="183"/>
      <c r="C162" s="230">
        <f>SUM(C150:C161)</f>
        <v>330667114.64000005</v>
      </c>
      <c r="D162" s="230">
        <f>SUM(D150:D161)</f>
        <v>30921795.630000003</v>
      </c>
      <c r="E162" s="230">
        <f>SUM(E150:E161)</f>
        <v>31109213</v>
      </c>
      <c r="F162" s="176">
        <f>(+D162-E162)/E162</f>
        <v>-0.006024497308883941</v>
      </c>
      <c r="G162" s="249">
        <f>D162/C162</f>
        <v>0.09351336816080066</v>
      </c>
      <c r="H162" s="246">
        <f>1-G162</f>
        <v>0.9064866318391993</v>
      </c>
      <c r="I162" s="157"/>
    </row>
    <row r="163" spans="1:9" ht="15.75" thickTop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.75">
      <c r="A164" s="164" t="s">
        <v>40</v>
      </c>
      <c r="B164" s="165">
        <f>DATE(14,7,1)</f>
        <v>5296</v>
      </c>
      <c r="C164" s="226">
        <v>208794950.02</v>
      </c>
      <c r="D164" s="226">
        <v>19981616.24</v>
      </c>
      <c r="E164" s="226">
        <v>19237476.19</v>
      </c>
      <c r="F164" s="166">
        <f aca="true" t="shared" si="33" ref="F164:F174">(+D164-E164)/E164</f>
        <v>0.038681791865547044</v>
      </c>
      <c r="G164" s="241">
        <f aca="true" t="shared" si="34" ref="G164:G174">D164/C164</f>
        <v>0.09569971035260193</v>
      </c>
      <c r="H164" s="242">
        <f aca="true" t="shared" si="35" ref="H164:H174">1-G164</f>
        <v>0.9043002896473981</v>
      </c>
      <c r="I164" s="157"/>
    </row>
    <row r="165" spans="1:9" ht="15.75">
      <c r="A165" s="164"/>
      <c r="B165" s="165">
        <f>DATE(14,8,1)</f>
        <v>5327</v>
      </c>
      <c r="C165" s="226">
        <v>228005697.9</v>
      </c>
      <c r="D165" s="226">
        <v>21075262.02</v>
      </c>
      <c r="E165" s="226">
        <v>19934717.81</v>
      </c>
      <c r="F165" s="166">
        <f t="shared" si="33"/>
        <v>0.057213963140619994</v>
      </c>
      <c r="G165" s="241">
        <f t="shared" si="34"/>
        <v>0.09243304976195509</v>
      </c>
      <c r="H165" s="242">
        <f t="shared" si="35"/>
        <v>0.9075669502380449</v>
      </c>
      <c r="I165" s="157"/>
    </row>
    <row r="166" spans="1:9" ht="15.75">
      <c r="A166" s="164"/>
      <c r="B166" s="165">
        <f>DATE(14,9,1)</f>
        <v>5358</v>
      </c>
      <c r="C166" s="226">
        <v>197202483.97</v>
      </c>
      <c r="D166" s="226">
        <v>17486814.22</v>
      </c>
      <c r="E166" s="226">
        <v>18326968.42</v>
      </c>
      <c r="F166" s="166">
        <f t="shared" si="33"/>
        <v>-0.045842508195908314</v>
      </c>
      <c r="G166" s="241">
        <f t="shared" si="34"/>
        <v>0.08867441153865097</v>
      </c>
      <c r="H166" s="242">
        <f t="shared" si="35"/>
        <v>0.911325588461349</v>
      </c>
      <c r="I166" s="157"/>
    </row>
    <row r="167" spans="1:9" ht="15.75">
      <c r="A167" s="164"/>
      <c r="B167" s="165">
        <f>DATE(14,10,1)</f>
        <v>5388</v>
      </c>
      <c r="C167" s="226">
        <v>205688352.4</v>
      </c>
      <c r="D167" s="226">
        <v>18422996.77</v>
      </c>
      <c r="E167" s="226">
        <v>18320631.43</v>
      </c>
      <c r="F167" s="166">
        <f t="shared" si="33"/>
        <v>0.005587435148789512</v>
      </c>
      <c r="G167" s="241">
        <f t="shared" si="34"/>
        <v>0.08956752560384648</v>
      </c>
      <c r="H167" s="242">
        <f t="shared" si="35"/>
        <v>0.9104324743961535</v>
      </c>
      <c r="I167" s="157"/>
    </row>
    <row r="168" spans="1:9" ht="15.75">
      <c r="A168" s="164"/>
      <c r="B168" s="165">
        <f>DATE(14,11,1)</f>
        <v>5419</v>
      </c>
      <c r="C168" s="226">
        <v>201521217.17</v>
      </c>
      <c r="D168" s="226">
        <v>18567130.19</v>
      </c>
      <c r="E168" s="226">
        <v>19295010.93</v>
      </c>
      <c r="F168" s="166">
        <f t="shared" si="33"/>
        <v>-0.03772377961539711</v>
      </c>
      <c r="G168" s="241">
        <f t="shared" si="34"/>
        <v>0.0921348652550916</v>
      </c>
      <c r="H168" s="242">
        <f t="shared" si="35"/>
        <v>0.9078651347449084</v>
      </c>
      <c r="I168" s="157"/>
    </row>
    <row r="169" spans="1:9" ht="15.75">
      <c r="A169" s="164"/>
      <c r="B169" s="165">
        <f>DATE(14,12,1)</f>
        <v>5449</v>
      </c>
      <c r="C169" s="226">
        <v>212810571.18</v>
      </c>
      <c r="D169" s="226">
        <v>19475406.19</v>
      </c>
      <c r="E169" s="226">
        <v>18347510.94</v>
      </c>
      <c r="F169" s="166">
        <f t="shared" si="33"/>
        <v>0.06147401975605526</v>
      </c>
      <c r="G169" s="241">
        <f t="shared" si="34"/>
        <v>0.09151521976569134</v>
      </c>
      <c r="H169" s="242">
        <f t="shared" si="35"/>
        <v>0.9084847802343087</v>
      </c>
      <c r="I169" s="157"/>
    </row>
    <row r="170" spans="1:9" ht="15.75">
      <c r="A170" s="164"/>
      <c r="B170" s="165">
        <f>DATE(15,1,1)</f>
        <v>5480</v>
      </c>
      <c r="C170" s="226">
        <v>207323369.78</v>
      </c>
      <c r="D170" s="226">
        <v>19339756.99</v>
      </c>
      <c r="E170" s="226">
        <v>17394720.31</v>
      </c>
      <c r="F170" s="166">
        <f t="shared" si="33"/>
        <v>0.11181764612115226</v>
      </c>
      <c r="G170" s="241">
        <f t="shared" si="34"/>
        <v>0.09328305347594085</v>
      </c>
      <c r="H170" s="242">
        <f t="shared" si="35"/>
        <v>0.9067169465240592</v>
      </c>
      <c r="I170" s="157"/>
    </row>
    <row r="171" spans="1:9" ht="15.75">
      <c r="A171" s="164"/>
      <c r="B171" s="165">
        <f>DATE(15,2,1)</f>
        <v>5511</v>
      </c>
      <c r="C171" s="226">
        <v>197317216.28</v>
      </c>
      <c r="D171" s="226">
        <v>18327731.19</v>
      </c>
      <c r="E171" s="226">
        <v>18139656.1</v>
      </c>
      <c r="F171" s="166">
        <f t="shared" si="33"/>
        <v>0.010368172856375146</v>
      </c>
      <c r="G171" s="241">
        <f t="shared" si="34"/>
        <v>0.0928846024464095</v>
      </c>
      <c r="H171" s="242">
        <f t="shared" si="35"/>
        <v>0.9071153975535905</v>
      </c>
      <c r="I171" s="157"/>
    </row>
    <row r="172" spans="1:9" ht="15.75">
      <c r="A172" s="164"/>
      <c r="B172" s="165">
        <f>DATE(15,3,1)</f>
        <v>5539</v>
      </c>
      <c r="C172" s="226">
        <v>224276485.35</v>
      </c>
      <c r="D172" s="226">
        <v>21149835.47</v>
      </c>
      <c r="E172" s="226">
        <v>21110329.34</v>
      </c>
      <c r="F172" s="166">
        <f t="shared" si="33"/>
        <v>0.001871412300761337</v>
      </c>
      <c r="G172" s="241">
        <f t="shared" si="34"/>
        <v>0.09430250985516436</v>
      </c>
      <c r="H172" s="242">
        <f t="shared" si="35"/>
        <v>0.9056974901448356</v>
      </c>
      <c r="I172" s="157"/>
    </row>
    <row r="173" spans="1:9" ht="15.75">
      <c r="A173" s="164"/>
      <c r="B173" s="165">
        <f>DATE(15,4,1)</f>
        <v>5570</v>
      </c>
      <c r="C173" s="226">
        <v>214472299.95</v>
      </c>
      <c r="D173" s="226">
        <v>19801672.42</v>
      </c>
      <c r="E173" s="226">
        <v>19169265.64</v>
      </c>
      <c r="F173" s="166">
        <f t="shared" si="33"/>
        <v>0.03299066285984241</v>
      </c>
      <c r="G173" s="241">
        <f t="shared" si="34"/>
        <v>0.09232741209292003</v>
      </c>
      <c r="H173" s="242">
        <f t="shared" si="35"/>
        <v>0.9076725879070799</v>
      </c>
      <c r="I173" s="157"/>
    </row>
    <row r="174" spans="1:9" ht="15.75">
      <c r="A174" s="164"/>
      <c r="B174" s="165">
        <f>DATE(15,5,1)</f>
        <v>5600</v>
      </c>
      <c r="C174" s="226">
        <v>225141721.38</v>
      </c>
      <c r="D174" s="226">
        <v>20787455.22</v>
      </c>
      <c r="E174" s="226">
        <v>20173110.69</v>
      </c>
      <c r="F174" s="166">
        <f t="shared" si="33"/>
        <v>0.030453634020088622</v>
      </c>
      <c r="G174" s="241">
        <f t="shared" si="34"/>
        <v>0.0923305333750842</v>
      </c>
      <c r="H174" s="242">
        <f t="shared" si="35"/>
        <v>0.9076694666249158</v>
      </c>
      <c r="I174" s="157"/>
    </row>
    <row r="175" spans="1:9" ht="15.75" thickBot="1">
      <c r="A175" s="167"/>
      <c r="B175" s="168"/>
      <c r="C175" s="226"/>
      <c r="D175" s="226"/>
      <c r="E175" s="226"/>
      <c r="F175" s="166"/>
      <c r="G175" s="241"/>
      <c r="H175" s="242"/>
      <c r="I175" s="157"/>
    </row>
    <row r="176" spans="1:9" ht="17.25" thickBot="1" thickTop="1">
      <c r="A176" s="174" t="s">
        <v>14</v>
      </c>
      <c r="B176" s="175"/>
      <c r="C176" s="228">
        <f>SUM(C164:C175)</f>
        <v>2322554365.3799996</v>
      </c>
      <c r="D176" s="228">
        <f>SUM(D164:D175)</f>
        <v>214415676.92</v>
      </c>
      <c r="E176" s="228">
        <f>SUM(E164:E175)</f>
        <v>209449397.8</v>
      </c>
      <c r="F176" s="176">
        <f>(+D176-E176)/E176</f>
        <v>0.023711116728739406</v>
      </c>
      <c r="G176" s="245">
        <f>D176/C176</f>
        <v>0.09231890547583321</v>
      </c>
      <c r="H176" s="246">
        <f>1-G176</f>
        <v>0.9076810945241668</v>
      </c>
      <c r="I176" s="157"/>
    </row>
    <row r="177" spans="1:9" ht="15.75" thickTop="1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.75">
      <c r="A178" s="164" t="s">
        <v>64</v>
      </c>
      <c r="B178" s="165">
        <f>DATE(14,7,1)</f>
        <v>5296</v>
      </c>
      <c r="C178" s="226">
        <v>33610475.52</v>
      </c>
      <c r="D178" s="226">
        <v>3131194.84</v>
      </c>
      <c r="E178" s="226">
        <v>2870304.45</v>
      </c>
      <c r="F178" s="166">
        <f aca="true" t="shared" si="36" ref="F178:F188">(+D178-E178)/E178</f>
        <v>0.09089293297789357</v>
      </c>
      <c r="G178" s="241">
        <f aca="true" t="shared" si="37" ref="G178:G188">D178/C178</f>
        <v>0.09316127759444445</v>
      </c>
      <c r="H178" s="242">
        <f aca="true" t="shared" si="38" ref="H178:H188">1-G178</f>
        <v>0.9068387224055555</v>
      </c>
      <c r="I178" s="157"/>
    </row>
    <row r="179" spans="1:9" ht="15.75">
      <c r="A179" s="164"/>
      <c r="B179" s="165">
        <f>DATE(14,8,1)</f>
        <v>5327</v>
      </c>
      <c r="C179" s="226">
        <v>33728587.18</v>
      </c>
      <c r="D179" s="226">
        <v>3227301.46</v>
      </c>
      <c r="E179" s="226">
        <v>2938117.55</v>
      </c>
      <c r="F179" s="166">
        <f t="shared" si="36"/>
        <v>0.09842489453834145</v>
      </c>
      <c r="G179" s="241">
        <f t="shared" si="37"/>
        <v>0.09568445434066948</v>
      </c>
      <c r="H179" s="242">
        <f t="shared" si="38"/>
        <v>0.9043155456593305</v>
      </c>
      <c r="I179" s="157"/>
    </row>
    <row r="180" spans="1:9" ht="15.75">
      <c r="A180" s="164"/>
      <c r="B180" s="165">
        <f>DATE(14,9,1)</f>
        <v>5358</v>
      </c>
      <c r="C180" s="226">
        <v>31509616.57</v>
      </c>
      <c r="D180" s="226">
        <v>2886113.88</v>
      </c>
      <c r="E180" s="226">
        <v>2795573.06</v>
      </c>
      <c r="F180" s="166">
        <f t="shared" si="36"/>
        <v>0.032387212945885174</v>
      </c>
      <c r="G180" s="241">
        <f t="shared" si="37"/>
        <v>0.09159470010015422</v>
      </c>
      <c r="H180" s="242">
        <f t="shared" si="38"/>
        <v>0.9084052998998458</v>
      </c>
      <c r="I180" s="157"/>
    </row>
    <row r="181" spans="1:9" ht="15.75">
      <c r="A181" s="164"/>
      <c r="B181" s="165">
        <f>DATE(14,10,1)</f>
        <v>5388</v>
      </c>
      <c r="C181" s="226">
        <v>32479676.71</v>
      </c>
      <c r="D181" s="226">
        <v>2908095.78</v>
      </c>
      <c r="E181" s="226">
        <v>2890029.24</v>
      </c>
      <c r="F181" s="166">
        <f t="shared" si="36"/>
        <v>0.006251334675077395</v>
      </c>
      <c r="G181" s="241">
        <f t="shared" si="37"/>
        <v>0.08953585979212167</v>
      </c>
      <c r="H181" s="242">
        <f t="shared" si="38"/>
        <v>0.9104641402078784</v>
      </c>
      <c r="I181" s="157"/>
    </row>
    <row r="182" spans="1:9" ht="15.75">
      <c r="A182" s="164"/>
      <c r="B182" s="165">
        <f>DATE(14,11,1)</f>
        <v>5419</v>
      </c>
      <c r="C182" s="226">
        <v>31271382.8</v>
      </c>
      <c r="D182" s="226">
        <v>2809592.69</v>
      </c>
      <c r="E182" s="226">
        <v>2745250.28</v>
      </c>
      <c r="F182" s="166">
        <f t="shared" si="36"/>
        <v>0.023437720949799942</v>
      </c>
      <c r="G182" s="241">
        <f t="shared" si="37"/>
        <v>0.08984548933985739</v>
      </c>
      <c r="H182" s="242">
        <f t="shared" si="38"/>
        <v>0.9101545106601426</v>
      </c>
      <c r="I182" s="157"/>
    </row>
    <row r="183" spans="1:9" ht="15.75">
      <c r="A183" s="164"/>
      <c r="B183" s="165">
        <f>DATE(14,12,1)</f>
        <v>5449</v>
      </c>
      <c r="C183" s="226">
        <v>34628140.17</v>
      </c>
      <c r="D183" s="226">
        <v>2822057.08</v>
      </c>
      <c r="E183" s="226">
        <v>2746616.4</v>
      </c>
      <c r="F183" s="166">
        <f t="shared" si="36"/>
        <v>0.027466769658842847</v>
      </c>
      <c r="G183" s="241">
        <f t="shared" si="37"/>
        <v>0.08149606262841924</v>
      </c>
      <c r="H183" s="242">
        <f t="shared" si="38"/>
        <v>0.9185039373715808</v>
      </c>
      <c r="I183" s="157"/>
    </row>
    <row r="184" spans="1:9" ht="15.75">
      <c r="A184" s="164"/>
      <c r="B184" s="165">
        <f>DATE(15,1,1)</f>
        <v>5480</v>
      </c>
      <c r="C184" s="226">
        <v>33183136.66</v>
      </c>
      <c r="D184" s="226">
        <v>3119187.16</v>
      </c>
      <c r="E184" s="226">
        <v>2799547.91</v>
      </c>
      <c r="F184" s="166">
        <f t="shared" si="36"/>
        <v>0.11417530982707846</v>
      </c>
      <c r="G184" s="241">
        <f t="shared" si="37"/>
        <v>0.09399916565934428</v>
      </c>
      <c r="H184" s="242">
        <f t="shared" si="38"/>
        <v>0.9060008343406557</v>
      </c>
      <c r="I184" s="157"/>
    </row>
    <row r="185" spans="1:9" ht="15.75">
      <c r="A185" s="164"/>
      <c r="B185" s="165">
        <f>DATE(15,2,1)</f>
        <v>5511</v>
      </c>
      <c r="C185" s="226">
        <v>34590273.7</v>
      </c>
      <c r="D185" s="226">
        <v>3161181.44</v>
      </c>
      <c r="E185" s="226">
        <v>3141992.72</v>
      </c>
      <c r="F185" s="166">
        <f t="shared" si="36"/>
        <v>0.0061071815596058215</v>
      </c>
      <c r="G185" s="241">
        <f t="shared" si="37"/>
        <v>0.09138931560405664</v>
      </c>
      <c r="H185" s="242">
        <f t="shared" si="38"/>
        <v>0.9086106843959434</v>
      </c>
      <c r="I185" s="157"/>
    </row>
    <row r="186" spans="1:9" ht="15.75">
      <c r="A186" s="164"/>
      <c r="B186" s="165">
        <f>DATE(15,3,1)</f>
        <v>5539</v>
      </c>
      <c r="C186" s="226">
        <v>38846963.63</v>
      </c>
      <c r="D186" s="226">
        <v>3489638.16</v>
      </c>
      <c r="E186" s="226">
        <v>3374540.99</v>
      </c>
      <c r="F186" s="166">
        <f t="shared" si="36"/>
        <v>0.034107503906775756</v>
      </c>
      <c r="G186" s="241">
        <f t="shared" si="37"/>
        <v>0.0898303968680087</v>
      </c>
      <c r="H186" s="242">
        <f t="shared" si="38"/>
        <v>0.9101696031319912</v>
      </c>
      <c r="I186" s="157"/>
    </row>
    <row r="187" spans="1:9" ht="15.75">
      <c r="A187" s="164"/>
      <c r="B187" s="165">
        <f>DATE(15,4,1)</f>
        <v>5570</v>
      </c>
      <c r="C187" s="226">
        <v>36166588.15</v>
      </c>
      <c r="D187" s="226">
        <v>3327577.31</v>
      </c>
      <c r="E187" s="226">
        <v>3134961.91</v>
      </c>
      <c r="F187" s="166">
        <f t="shared" si="36"/>
        <v>0.06144106548331233</v>
      </c>
      <c r="G187" s="241">
        <f t="shared" si="37"/>
        <v>0.09200694564272854</v>
      </c>
      <c r="H187" s="242">
        <f t="shared" si="38"/>
        <v>0.9079930543572714</v>
      </c>
      <c r="I187" s="157"/>
    </row>
    <row r="188" spans="1:9" ht="15.75">
      <c r="A188" s="164"/>
      <c r="B188" s="165">
        <f>DATE(15,5,1)</f>
        <v>5600</v>
      </c>
      <c r="C188" s="226">
        <v>39634141.69</v>
      </c>
      <c r="D188" s="226">
        <v>3458564.7</v>
      </c>
      <c r="E188" s="226">
        <v>3077134.14</v>
      </c>
      <c r="F188" s="166">
        <f t="shared" si="36"/>
        <v>0.12395642914676448</v>
      </c>
      <c r="G188" s="241">
        <f t="shared" si="37"/>
        <v>0.08726225805648323</v>
      </c>
      <c r="H188" s="242">
        <f t="shared" si="38"/>
        <v>0.9127377419435168</v>
      </c>
      <c r="I188" s="157"/>
    </row>
    <row r="189" spans="1:9" ht="15.75" thickBot="1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7.25" thickBot="1" thickTop="1">
      <c r="A190" s="169" t="s">
        <v>14</v>
      </c>
      <c r="B190" s="155"/>
      <c r="C190" s="223">
        <f>SUM(C178:C189)</f>
        <v>379648982.78000003</v>
      </c>
      <c r="D190" s="223">
        <f>SUM(D178:D189)</f>
        <v>34340504.5</v>
      </c>
      <c r="E190" s="223">
        <f>SUM(E178:E189)</f>
        <v>32514068.650000002</v>
      </c>
      <c r="F190" s="176">
        <f>(+D190-E190)/E190</f>
        <v>0.0561737095920168</v>
      </c>
      <c r="G190" s="245">
        <f>D190/C190</f>
        <v>0.09045330307101</v>
      </c>
      <c r="H190" s="246">
        <f>1-G190</f>
        <v>0.90954669692899</v>
      </c>
      <c r="I190" s="157"/>
    </row>
    <row r="191" spans="1:9" ht="16.5" thickBot="1" thickTop="1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7.25" thickBot="1" thickTop="1">
      <c r="A192" s="184" t="s">
        <v>41</v>
      </c>
      <c r="B192" s="155"/>
      <c r="C192" s="223">
        <f>C190+C176+C134+C106+C78+C50+C22+C64+C162+C36+C120+C148+C92</f>
        <v>14403822643.66</v>
      </c>
      <c r="D192" s="223">
        <f>D190+D176+D134+D106+D78+D50+D22+D64+D162+D36+D120+D148+D92</f>
        <v>1349644969.3</v>
      </c>
      <c r="E192" s="223">
        <f>E190+E176+E134+E106+E78+E50+E22+E64+E162+E36+E120+E148+E92</f>
        <v>1339017641.58</v>
      </c>
      <c r="F192" s="170">
        <f>(+D192-E192)/E192</f>
        <v>0.007936659973695422</v>
      </c>
      <c r="G192" s="236">
        <f>D192/C192</f>
        <v>0.09370047123525649</v>
      </c>
      <c r="H192" s="237">
        <f>1-G192</f>
        <v>0.9062995287647435</v>
      </c>
      <c r="I192" s="157"/>
    </row>
    <row r="193" spans="1:9" ht="17.25" thickBot="1" thickTop="1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7.25" thickBot="1" thickTop="1">
      <c r="A194" s="184" t="s">
        <v>42</v>
      </c>
      <c r="B194" s="155"/>
      <c r="C194" s="223">
        <f>+C20+C34+C48+C62+C76+C90+C104+C118+C132+C146+C160+C174+C188</f>
        <v>1413464729.3199997</v>
      </c>
      <c r="D194" s="223">
        <f>+D20+D34+D48+D62+D76+D90+D104+D118+D132+D146+D160+D174+D188</f>
        <v>133054518.74000001</v>
      </c>
      <c r="E194" s="223">
        <f>+E20+E34+E48+E62+E76+E90+E104+E118+E132+E146+E160+E174+E188</f>
        <v>130887037.21</v>
      </c>
      <c r="F194" s="170">
        <f>(+D194-E194)/E194</f>
        <v>0.016559940359276593</v>
      </c>
      <c r="G194" s="236">
        <f>D194/C194</f>
        <v>0.09413359667206615</v>
      </c>
      <c r="H194" s="246">
        <f>1-G194</f>
        <v>0.9058664033279339</v>
      </c>
      <c r="I194" s="157"/>
    </row>
    <row r="195" spans="1:9" ht="16.5" thickTop="1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18" s="3" customFormat="1" ht="15.75">
      <c r="A196" s="256" t="s">
        <v>70</v>
      </c>
      <c r="B196" s="258"/>
      <c r="C196" s="259"/>
      <c r="D196" s="259"/>
      <c r="E196" s="259"/>
      <c r="F196" s="260"/>
      <c r="G196" s="257"/>
      <c r="H196" s="257"/>
      <c r="I196" s="261"/>
      <c r="J196" s="261"/>
      <c r="K196" s="262"/>
      <c r="L196" s="262"/>
      <c r="M196" s="261"/>
      <c r="R196" s="2"/>
    </row>
    <row r="197" spans="1:9" ht="16.5" customHeight="1">
      <c r="A197" s="188" t="s">
        <v>52</v>
      </c>
      <c r="B197" s="189"/>
      <c r="C197" s="232"/>
      <c r="D197" s="232"/>
      <c r="E197" s="232"/>
      <c r="F197" s="190"/>
      <c r="G197" s="251"/>
      <c r="H197" s="251"/>
      <c r="I197" s="151"/>
    </row>
    <row r="198" spans="1:9" ht="15.75">
      <c r="A198" s="191"/>
      <c r="B198" s="189"/>
      <c r="C198" s="232"/>
      <c r="D198" s="232"/>
      <c r="E198" s="232"/>
      <c r="F198" s="190"/>
      <c r="G198" s="257"/>
      <c r="H198" s="257"/>
      <c r="I198" s="151"/>
    </row>
    <row r="199" spans="1:9" ht="15.75">
      <c r="A199" s="72"/>
      <c r="I199" s="151"/>
    </row>
  </sheetData>
  <sheetProtection/>
  <printOptions horizontalCentered="1"/>
  <pageMargins left="0.75" right="0.25" top="0.3194" bottom="0.2" header="0.5" footer="0.5"/>
  <pageSetup horizontalDpi="600" verticalDpi="600" orientation="landscape" scale="66" r:id="rId1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2015-06-09T13:27:55Z</cp:lastPrinted>
  <dcterms:created xsi:type="dcterms:W3CDTF">2003-09-09T14:41:43Z</dcterms:created>
  <dcterms:modified xsi:type="dcterms:W3CDTF">2015-06-09T20:13:52Z</dcterms:modified>
  <cp:category/>
  <cp:version/>
  <cp:contentType/>
  <cp:contentStatus/>
</cp:coreProperties>
</file>