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STATS'!$A$1:$M$118</definedName>
    <definedName name="_xlnm.Print_Area" localSheetId="3">'SLOT STATS'!$A$1:$I$119</definedName>
    <definedName name="_xlnm.Print_Area" localSheetId="2">'TABLE STATS'!$A$1:$H$118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<sst xmlns="http://schemas.openxmlformats.org/spreadsheetml/2006/main" count="196" uniqueCount="77">
  <si>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</si>
  <si>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</si>
  <si>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</si>
  <si>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</si>
  <si>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</si>
  <si>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</si>
  <si>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</si>
  <si>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</si>
  <si>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</si>
  <si>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</si>
  <si>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</si>
  <si>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</si>
  <si>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</si>
  <si>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</si>
  <si>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</si>
  <si>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</si>
  <si>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</si>
  <si>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</si>
  <si>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</si>
  <si>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</si>
  <si>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</si>
  <si>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</si>
  <si>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</si>
  <si>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</si>
  <si>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</si>
  <si>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</si>
  <si>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</si>
  <si>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</si>
  <si>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</si>
  <si>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</si>
  <si>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</si>
  <si>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</si>
  <si>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</si>
  <si>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</si>
  <si>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</si>
  <si>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</si>
  <si>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</si>
  <si>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</si>
  <si>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</si>
  <si>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</si>
  <si>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</si>
  <si>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</si>
  <si>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</si>
  <si>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</si>
  <si>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</si>
  <si>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</si>
  <si>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</si>
  <si>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</si>
  <si>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</si>
  <si>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</si>
  <si>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</si>
  <si>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</si>
  <si>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</si>
  <si>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</si>
  <si>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</si>
  <si>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</si>
  <si>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</si>
  <si>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</si>
  <si>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</si>
  <si>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</si>
  <si>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</si>
  <si>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</si>
  <si>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</si>
  <si>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</si>
  <si>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</si>
  <si>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>Lumiere Place was purchased by Tropicana 4/1/14</t>
  </si>
  <si>
    <t xml:space="preserve">FISCAL 2015 YTD ADMISSIONS, PATRONS AND AGR SUMMARY </t>
  </si>
  <si>
    <t xml:space="preserve">HOLLYWOOD </t>
  </si>
  <si>
    <t xml:space="preserve">IOC - CAPE GIRARDEAU </t>
  </si>
  <si>
    <t>LUMIERE PLACE *</t>
  </si>
  <si>
    <t>* Lumiere Place was purchased by Tropicana 4/1/14</t>
  </si>
  <si>
    <t>MONTH ENDED:   NOVEMBER 30, 2014</t>
  </si>
  <si>
    <t>(as reported on the tax remittal database dtd 12/8/14)</t>
  </si>
  <si>
    <t>FOR THE MONTH ENDED:   NOVEMBER 30, 2014</t>
  </si>
  <si>
    <t>THRU MONTH ENDED:   NOVEMBER 30, 2014</t>
  </si>
  <si>
    <t>(as reported on the tax remittal database as of 12/8/14)</t>
  </si>
  <si>
    <t>THRU MONTH ENDED:     NOVEMBER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</si>
</sst>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66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80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81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DATE(2014,7,1)</f>
        <v>41821</v>
      </c>
      <c r="C9" s="21">
        <v>267164</v>
      </c>
      <c r="D9" s="22">
        <v>319716</v>
      </c>
      <c r="E9" s="23">
        <f>(+C9-D9)/D9</f>
        <v>-0.16437087915525028</v>
      </c>
      <c r="F9" s="21">
        <f>+C9-127421</f>
        <v>139743</v>
      </c>
      <c r="G9" s="21">
        <f>+D9-157523</f>
        <v>162193</v>
      </c>
      <c r="H9" s="23">
        <f>(+F9-G9)/G9</f>
        <v>-0.138415344681953</v>
      </c>
      <c r="I9" s="24">
        <f>K9/C9</f>
        <v>41.706116130915845</v>
      </c>
      <c r="J9" s="24">
        <f>K9/F9</f>
        <v>79.73474742920934</v>
      </c>
      <c r="K9" s="21">
        <v>11142372.81</v>
      </c>
      <c r="L9" s="21">
        <v>12552374.44</v>
      </c>
      <c r="M9" s="25">
        <f>(+K9-L9)/L9</f>
        <v>-0.11232947493239367</v>
      </c>
      <c r="N9" s="10"/>
      <c r="R9" s="2"/>
    </row>
    <row r="10" spans="1:18" ht="15.75">
      <c r="A10" s="19"/>
      <c r="B10" s="20">
        <f>DATE(2014,8,1)</f>
        <v>41852</v>
      </c>
      <c r="C10" s="21">
        <v>277665</v>
      </c>
      <c r="D10" s="22">
        <v>316432</v>
      </c>
      <c r="E10" s="23">
        <f>(+C10-D10)/D10</f>
        <v>-0.12251289376548516</v>
      </c>
      <c r="F10" s="21">
        <f>+C10-135151</f>
        <v>142514</v>
      </c>
      <c r="G10" s="21">
        <f>+D10-153574</f>
        <v>162858</v>
      </c>
      <c r="H10" s="23">
        <f>(+F10-G10)/G10</f>
        <v>-0.12491864077908361</v>
      </c>
      <c r="I10" s="24">
        <f>K10/C10</f>
        <v>43.81201310932238</v>
      </c>
      <c r="J10" s="24">
        <f>K10/F10</f>
        <v>85.36047419902606</v>
      </c>
      <c r="K10" s="21">
        <v>12165062.62</v>
      </c>
      <c r="L10" s="21">
        <v>12621243.43</v>
      </c>
      <c r="M10" s="25">
        <f>(+K10-L10)/L10</f>
        <v>-0.036143888082824226</v>
      </c>
      <c r="N10" s="10"/>
      <c r="R10" s="2"/>
    </row>
    <row r="11" spans="1:18" ht="15.75">
      <c r="A11" s="19"/>
      <c r="B11" s="20">
        <f>DATE(2014,9,1)</f>
        <v>41883</v>
      </c>
      <c r="C11" s="21">
        <v>248158</v>
      </c>
      <c r="D11" s="22">
        <v>282340</v>
      </c>
      <c r="E11" s="23">
        <f>(+C11-D11)/D11</f>
        <v>-0.12106679889494935</v>
      </c>
      <c r="F11" s="21">
        <f>+C11-120172</f>
        <v>127986</v>
      </c>
      <c r="G11" s="21">
        <f>+D11-139729</f>
        <v>142611</v>
      </c>
      <c r="H11" s="23">
        <f>(+F11-G11)/G11</f>
        <v>-0.10255169657319561</v>
      </c>
      <c r="I11" s="24">
        <f>K11/C11</f>
        <v>42.82730881132182</v>
      </c>
      <c r="J11" s="24">
        <f>K11/F11</f>
        <v>83.03985826574782</v>
      </c>
      <c r="K11" s="21">
        <v>10627939.3</v>
      </c>
      <c r="L11" s="21">
        <v>11333373.29</v>
      </c>
      <c r="M11" s="25">
        <f>(+K11-L11)/L11</f>
        <v>-0.06224395614167566</v>
      </c>
      <c r="N11" s="10"/>
      <c r="R11" s="2"/>
    </row>
    <row r="12" spans="1:18" ht="15.75">
      <c r="A12" s="19"/>
      <c r="B12" s="20">
        <f>DATE(2014,10,1)</f>
        <v>41913</v>
      </c>
      <c r="C12" s="21">
        <v>266065</v>
      </c>
      <c r="D12" s="22">
        <v>268334</v>
      </c>
      <c r="E12" s="23">
        <f>(+C12-D12)/D12</f>
        <v>-0.00845587961272146</v>
      </c>
      <c r="F12" s="21">
        <f>+C12-128901</f>
        <v>137164</v>
      </c>
      <c r="G12" s="21">
        <f>D12-130186</f>
        <v>138148</v>
      </c>
      <c r="H12" s="23">
        <f>(+F12-G12)/G12</f>
        <v>-0.0071227958421403136</v>
      </c>
      <c r="I12" s="24">
        <f>K12/C12</f>
        <v>43.084435495085785</v>
      </c>
      <c r="J12" s="24">
        <f>K12/F12</f>
        <v>83.57338900877781</v>
      </c>
      <c r="K12" s="21">
        <v>11463260.33</v>
      </c>
      <c r="L12" s="21">
        <v>11127847.37</v>
      </c>
      <c r="M12" s="25">
        <f>(+K12-L12)/L12</f>
        <v>0.030141764965635122</v>
      </c>
      <c r="N12" s="10"/>
      <c r="R12" s="2"/>
    </row>
    <row r="13" spans="1:18" ht="15.75">
      <c r="A13" s="19"/>
      <c r="B13" s="20">
        <f>DATE(2014,11,1)</f>
        <v>41944</v>
      </c>
      <c r="C13" s="21">
        <v>269524</v>
      </c>
      <c r="D13" s="22">
        <v>267883</v>
      </c>
      <c r="E13" s="23">
        <f>(+C13-D13)/D13</f>
        <v>0.006125808655271145</v>
      </c>
      <c r="F13" s="21">
        <f>C13-132202</f>
        <v>137322</v>
      </c>
      <c r="G13" s="21">
        <f>D13-131464</f>
        <v>136419</v>
      </c>
      <c r="H13" s="23">
        <f>(+F13-G13)/G13</f>
        <v>0.006619312559101005</v>
      </c>
      <c r="I13" s="24">
        <f>K13/C13</f>
        <v>42.689039306332646</v>
      </c>
      <c r="J13" s="24">
        <f>K13/F13</f>
        <v>83.78643356490585</v>
      </c>
      <c r="K13" s="21">
        <v>11505720.63</v>
      </c>
      <c r="L13" s="21">
        <v>11700907.26</v>
      </c>
      <c r="M13" s="25">
        <f>(+K13-L13)/L13</f>
        <v>-0.016681324418940737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Bot="1" thickTop="1">
      <c r="A15" s="26" t="s">
        <v>14</v>
      </c>
      <c r="B15" s="27"/>
      <c r="C15" s="28">
        <f>SUM(C9:C14)</f>
        <v>1328576</v>
      </c>
      <c r="D15" s="28">
        <f>SUM(D9:D14)</f>
        <v>1454705</v>
      </c>
      <c r="E15" s="282">
        <f>(+C15-D15)/D15</f>
        <v>-0.08670417713557044</v>
      </c>
      <c r="F15" s="28">
        <f>SUM(F9:F14)</f>
        <v>684729</v>
      </c>
      <c r="G15" s="28">
        <f>SUM(G9:G14)</f>
        <v>742229</v>
      </c>
      <c r="H15" s="30">
        <f>(+F15-G15)/G15</f>
        <v>-0.07746935245052403</v>
      </c>
      <c r="I15" s="31">
        <f>K15/C15</f>
        <v>42.831088089804425</v>
      </c>
      <c r="J15" s="31">
        <f>K15/F15</f>
        <v>83.10493011103664</v>
      </c>
      <c r="K15" s="28">
        <f>SUM(K9:K14)</f>
        <v>56904355.690000005</v>
      </c>
      <c r="L15" s="28">
        <f>SUM(L9:L14)</f>
        <v>59335745.78999999</v>
      </c>
      <c r="M15" s="32">
        <f>(+K15-L15)/L15</f>
        <v>-0.040976818739333266</v>
      </c>
      <c r="N15" s="10"/>
      <c r="R15" s="2"/>
    </row>
    <row r="16" spans="1:18" ht="15.75" customHeight="1" thickTop="1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>
      <c r="A17" s="19" t="s">
        <v>15</v>
      </c>
      <c r="B17" s="20">
        <f>DATE(2014,7,1)</f>
        <v>41821</v>
      </c>
      <c r="C17" s="21">
        <v>174037</v>
      </c>
      <c r="D17" s="21">
        <v>167462</v>
      </c>
      <c r="E17" s="23">
        <f>(+C17-D17)/D17</f>
        <v>0.03926263868818</v>
      </c>
      <c r="F17" s="21">
        <f>+C17-81593</f>
        <v>92444</v>
      </c>
      <c r="G17" s="21">
        <f>+D17-80491</f>
        <v>86971</v>
      </c>
      <c r="H17" s="23">
        <f>(+F17-G17)/G17</f>
        <v>0.06292902231778409</v>
      </c>
      <c r="I17" s="24">
        <f>K17/C17</f>
        <v>39.82418313347162</v>
      </c>
      <c r="J17" s="24">
        <f>K17/F17</f>
        <v>74.97383670113798</v>
      </c>
      <c r="K17" s="21">
        <v>6930881.36</v>
      </c>
      <c r="L17" s="21">
        <v>6463510.29</v>
      </c>
      <c r="M17" s="25">
        <f>(+K17-L17)/L17</f>
        <v>0.07230917087315418</v>
      </c>
      <c r="N17" s="10"/>
      <c r="R17" s="2"/>
    </row>
    <row r="18" spans="1:18" ht="15.75">
      <c r="A18" s="19"/>
      <c r="B18" s="20">
        <f>DATE(2014,8,1)</f>
        <v>41852</v>
      </c>
      <c r="C18" s="21">
        <v>180474</v>
      </c>
      <c r="D18" s="21">
        <v>180814</v>
      </c>
      <c r="E18" s="23">
        <f>(+C18-D18)/D18</f>
        <v>-0.001880385368389616</v>
      </c>
      <c r="F18" s="21">
        <f>+C18-84762</f>
        <v>95712</v>
      </c>
      <c r="G18" s="21">
        <f>+D18-88497</f>
        <v>92317</v>
      </c>
      <c r="H18" s="23">
        <f>(+F18-G18)/G18</f>
        <v>0.03677545847460381</v>
      </c>
      <c r="I18" s="24">
        <f>K18/C18</f>
        <v>39.69763716657247</v>
      </c>
      <c r="J18" s="24">
        <f>K18/F18</f>
        <v>74.85363768388498</v>
      </c>
      <c r="K18" s="21">
        <v>7164391.37</v>
      </c>
      <c r="L18" s="21">
        <v>7197790.58</v>
      </c>
      <c r="M18" s="25">
        <f>(+K18-L18)/L18</f>
        <v>-0.0046402030774282356</v>
      </c>
      <c r="N18" s="10"/>
      <c r="R18" s="2"/>
    </row>
    <row r="19" spans="1:18" ht="15.75">
      <c r="A19" s="19"/>
      <c r="B19" s="20">
        <f>DATE(2014,9,1)</f>
        <v>41883</v>
      </c>
      <c r="C19" s="21">
        <v>159026</v>
      </c>
      <c r="D19" s="21">
        <v>166343</v>
      </c>
      <c r="E19" s="23">
        <f>(+C19-D19)/D19</f>
        <v>-0.04398742357658573</v>
      </c>
      <c r="F19" s="21">
        <f>+C19-73696</f>
        <v>85330</v>
      </c>
      <c r="G19" s="21">
        <f>+D19-79764</f>
        <v>86579</v>
      </c>
      <c r="H19" s="23">
        <f>(+F19-G19)/G19</f>
        <v>-0.014426131047944652</v>
      </c>
      <c r="I19" s="24">
        <f>K19/C19</f>
        <v>41.42939984656597</v>
      </c>
      <c r="J19" s="24">
        <f>K19/F19</f>
        <v>77.21026297902262</v>
      </c>
      <c r="K19" s="21">
        <v>6588351.74</v>
      </c>
      <c r="L19" s="21">
        <v>6703192.74</v>
      </c>
      <c r="M19" s="25">
        <f>(+K19-L19)/L19</f>
        <v>-0.017132283742150013</v>
      </c>
      <c r="N19" s="10"/>
      <c r="R19" s="2"/>
    </row>
    <row r="20" spans="1:18" ht="15.75">
      <c r="A20" s="19"/>
      <c r="B20" s="20">
        <f>DATE(2014,10,1)</f>
        <v>41913</v>
      </c>
      <c r="C20" s="21">
        <v>161024</v>
      </c>
      <c r="D20" s="21">
        <v>153875</v>
      </c>
      <c r="E20" s="23">
        <f>(+C20-D20)/D20</f>
        <v>0.04645978878960195</v>
      </c>
      <c r="F20" s="21">
        <f>C20-74934</f>
        <v>86090</v>
      </c>
      <c r="G20" s="21">
        <f>D20-73934</f>
        <v>79941</v>
      </c>
      <c r="H20" s="23">
        <f>(+F20-G20)/G20</f>
        <v>0.07691922793059881</v>
      </c>
      <c r="I20" s="24">
        <f>K20/C20</f>
        <v>40.30702392189984</v>
      </c>
      <c r="J20" s="24">
        <f>K20/F20</f>
        <v>75.39084934371007</v>
      </c>
      <c r="K20" s="21">
        <v>6490398.22</v>
      </c>
      <c r="L20" s="21">
        <v>6163453.16</v>
      </c>
      <c r="M20" s="25">
        <f>(+K20-L20)/L20</f>
        <v>0.05304576047106677</v>
      </c>
      <c r="N20" s="10"/>
      <c r="R20" s="2"/>
    </row>
    <row r="21" spans="1:18" ht="15.75">
      <c r="A21" s="19"/>
      <c r="B21" s="20">
        <f>DATE(2014,11,1)</f>
        <v>41944</v>
      </c>
      <c r="C21" s="21">
        <v>153994</v>
      </c>
      <c r="D21" s="22">
        <v>157990</v>
      </c>
      <c r="E21" s="23">
        <f>(+C21-D21)/D21</f>
        <v>-0.02529274004683841</v>
      </c>
      <c r="F21" s="21">
        <f>C21-72262</f>
        <v>81732</v>
      </c>
      <c r="G21" s="21">
        <f>D21-76341</f>
        <v>81649</v>
      </c>
      <c r="H21" s="23">
        <f>(+F21-G21)/G21</f>
        <v>0.0010165464365760755</v>
      </c>
      <c r="I21" s="24">
        <f>K21/C21</f>
        <v>40.483281491486686</v>
      </c>
      <c r="J21" s="24">
        <f>K21/F21</f>
        <v>76.27590723339696</v>
      </c>
      <c r="K21" s="21">
        <v>6234182.45</v>
      </c>
      <c r="L21" s="21">
        <v>6667296.12</v>
      </c>
      <c r="M21" s="25">
        <f>(+K21-L21)/L21</f>
        <v>-0.06496091702013677</v>
      </c>
      <c r="N21" s="10"/>
      <c r="R21" s="2"/>
    </row>
    <row r="22" spans="1:18" ht="15.75" customHeight="1" thickBot="1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Bot="1" thickTop="1">
      <c r="A23" s="26" t="s">
        <v>14</v>
      </c>
      <c r="B23" s="27"/>
      <c r="C23" s="28">
        <f>SUM(C17:C22)</f>
        <v>828555</v>
      </c>
      <c r="D23" s="28">
        <f>SUM(D17:D22)</f>
        <v>826484</v>
      </c>
      <c r="E23" s="282">
        <f>(+C23-D23)/D23</f>
        <v>0.002505795635487196</v>
      </c>
      <c r="F23" s="28">
        <f>SUM(F17:F22)</f>
        <v>441308</v>
      </c>
      <c r="G23" s="28">
        <f>SUM(G17:G22)</f>
        <v>427457</v>
      </c>
      <c r="H23" s="30">
        <f>(+F23-G23)/G23</f>
        <v>0.03240325927520195</v>
      </c>
      <c r="I23" s="31">
        <f>K23/C23</f>
        <v>40.32104705179499</v>
      </c>
      <c r="J23" s="31">
        <f>K23/F23</f>
        <v>75.70269548705213</v>
      </c>
      <c r="K23" s="28">
        <f>SUM(K17:K22)</f>
        <v>33408205.139999997</v>
      </c>
      <c r="L23" s="28">
        <f>SUM(L17:L22)</f>
        <v>33195242.89</v>
      </c>
      <c r="M23" s="32">
        <f>(+K23-L23)/L23</f>
        <v>0.006415444848700014</v>
      </c>
      <c r="N23" s="10"/>
      <c r="R23" s="2"/>
    </row>
    <row r="24" spans="1:18" ht="15.75" customHeight="1" thickTop="1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>
      <c r="A25" s="19" t="s">
        <v>56</v>
      </c>
      <c r="B25" s="20">
        <f>DATE(2014,7,1)</f>
        <v>41821</v>
      </c>
      <c r="C25" s="21">
        <v>72401</v>
      </c>
      <c r="D25" s="21">
        <v>75211</v>
      </c>
      <c r="E25" s="23">
        <f>(+C25-D25)/D25</f>
        <v>-0.03736155615534962</v>
      </c>
      <c r="F25" s="21">
        <f>+C25-40333</f>
        <v>32068</v>
      </c>
      <c r="G25" s="21">
        <f>+D25-41471</f>
        <v>33740</v>
      </c>
      <c r="H25" s="23">
        <f>(+F25-G25)/G25</f>
        <v>-0.04955542382928275</v>
      </c>
      <c r="I25" s="24">
        <f>K25/C25</f>
        <v>38.17124487230839</v>
      </c>
      <c r="J25" s="24">
        <f>K25/F25</f>
        <v>86.18050081077709</v>
      </c>
      <c r="K25" s="21">
        <v>2763636.3</v>
      </c>
      <c r="L25" s="21">
        <v>2798471.18</v>
      </c>
      <c r="M25" s="25">
        <f>(+K25-L25)/L25</f>
        <v>-0.01244782517288613</v>
      </c>
      <c r="N25" s="10"/>
      <c r="R25" s="2"/>
    </row>
    <row r="26" spans="1:18" ht="15.75" customHeight="1">
      <c r="A26" s="19"/>
      <c r="B26" s="20">
        <f>DATE(2014,8,1)</f>
        <v>41852</v>
      </c>
      <c r="C26" s="21">
        <v>78277</v>
      </c>
      <c r="D26" s="21">
        <v>74130</v>
      </c>
      <c r="E26" s="23">
        <f>(+C26-D26)/D26</f>
        <v>0.055942263590988806</v>
      </c>
      <c r="F26" s="21">
        <f>+C26-44305</f>
        <v>33972</v>
      </c>
      <c r="G26" s="21">
        <f>+D26-40749</f>
        <v>33381</v>
      </c>
      <c r="H26" s="23">
        <f>(+F26-G26)/G26</f>
        <v>0.017704682304304845</v>
      </c>
      <c r="I26" s="24">
        <f>K26/C26</f>
        <v>38.30464849189417</v>
      </c>
      <c r="J26" s="24">
        <f>K26/F26</f>
        <v>88.26012510302603</v>
      </c>
      <c r="K26" s="21">
        <v>2998372.97</v>
      </c>
      <c r="L26" s="21">
        <v>2757505.22</v>
      </c>
      <c r="M26" s="25">
        <f>(+K26-L26)/L26</f>
        <v>0.08734987997592983</v>
      </c>
      <c r="N26" s="10"/>
      <c r="R26" s="2"/>
    </row>
    <row r="27" spans="1:18" ht="15.75" customHeight="1">
      <c r="A27" s="19"/>
      <c r="B27" s="20">
        <f>DATE(2014,9,1)</f>
        <v>41883</v>
      </c>
      <c r="C27" s="21">
        <v>63778</v>
      </c>
      <c r="D27" s="21">
        <v>66326</v>
      </c>
      <c r="E27" s="23">
        <f>(+C27-D27)/D27</f>
        <v>-0.03841630733045864</v>
      </c>
      <c r="F27" s="21">
        <f>+C27-35884</f>
        <v>27894</v>
      </c>
      <c r="G27" s="21">
        <f>+D27-36268</f>
        <v>30058</v>
      </c>
      <c r="H27" s="23">
        <f>(+F27-G27)/G27</f>
        <v>-0.07199414465366957</v>
      </c>
      <c r="I27" s="24">
        <f>K27/C27</f>
        <v>40.70949669164916</v>
      </c>
      <c r="J27" s="24">
        <f>K27/F27</f>
        <v>93.07988384598838</v>
      </c>
      <c r="K27" s="21">
        <v>2596370.28</v>
      </c>
      <c r="L27" s="21">
        <v>2526534.71</v>
      </c>
      <c r="M27" s="25">
        <f>(+K27-L27)/L27</f>
        <v>0.027640851211578974</v>
      </c>
      <c r="N27" s="10"/>
      <c r="R27" s="2"/>
    </row>
    <row r="28" spans="1:18" ht="15.75" customHeight="1">
      <c r="A28" s="19"/>
      <c r="B28" s="20">
        <f>DATE(2014,10,1)</f>
        <v>41913</v>
      </c>
      <c r="C28" s="21">
        <v>68120</v>
      </c>
      <c r="D28" s="21">
        <v>62704</v>
      </c>
      <c r="E28" s="23">
        <f>(+C28-D28)/D28</f>
        <v>0.08637407501913753</v>
      </c>
      <c r="F28" s="21">
        <f>C28-39168</f>
        <v>28952</v>
      </c>
      <c r="G28" s="21">
        <f>D28-35119</f>
        <v>27585</v>
      </c>
      <c r="H28" s="23">
        <f>(+F28-G28)/G28</f>
        <v>0.04955591807141563</v>
      </c>
      <c r="I28" s="24">
        <f>K28/C28</f>
        <v>37.851111861421025</v>
      </c>
      <c r="J28" s="24">
        <f>K28/F28</f>
        <v>89.05836349820393</v>
      </c>
      <c r="K28" s="21">
        <v>2578417.74</v>
      </c>
      <c r="L28" s="21">
        <v>2327598.84</v>
      </c>
      <c r="M28" s="25">
        <f>(+K28-L28)/L28</f>
        <v>0.1077586462450722</v>
      </c>
      <c r="N28" s="10"/>
      <c r="R28" s="2"/>
    </row>
    <row r="29" spans="1:18" ht="15.75" customHeight="1">
      <c r="A29" s="19"/>
      <c r="B29" s="20">
        <f>DATE(2014,11,1)</f>
        <v>41944</v>
      </c>
      <c r="C29" s="21">
        <v>70883</v>
      </c>
      <c r="D29" s="22">
        <v>65148</v>
      </c>
      <c r="E29" s="23">
        <f>(+C29-D29)/D29</f>
        <v>0.08803033093878554</v>
      </c>
      <c r="F29" s="21">
        <f>C29-40956</f>
        <v>29927</v>
      </c>
      <c r="G29" s="21">
        <f>D29-37452</f>
        <v>27696</v>
      </c>
      <c r="H29" s="23">
        <f>(+F29-G29)/G29</f>
        <v>0.080553148469093</v>
      </c>
      <c r="I29" s="24">
        <f>K29/C29</f>
        <v>38.85163170294711</v>
      </c>
      <c r="J29" s="24">
        <f>K29/F29</f>
        <v>92.0212587295753</v>
      </c>
      <c r="K29" s="21">
        <v>2753920.21</v>
      </c>
      <c r="L29" s="21">
        <v>2425306.31</v>
      </c>
      <c r="M29" s="25">
        <f>(+K29-L29)/L29</f>
        <v>0.13549377191864886</v>
      </c>
      <c r="N29" s="10"/>
      <c r="R29" s="2"/>
    </row>
    <row r="30" spans="1:18" ht="15.75" customHeight="1" thickBot="1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40"/>
      <c r="C31" s="41">
        <f>SUM(C25:C30)</f>
        <v>353459</v>
      </c>
      <c r="D31" s="41">
        <f>SUM(D25:D30)</f>
        <v>343519</v>
      </c>
      <c r="E31" s="283">
        <f>(+C31-D31)/D31</f>
        <v>0.02893580849967542</v>
      </c>
      <c r="F31" s="41">
        <f>SUM(F25:F30)</f>
        <v>152813</v>
      </c>
      <c r="G31" s="41">
        <f>SUM(G25:G30)</f>
        <v>152460</v>
      </c>
      <c r="H31" s="42">
        <f>(+F31-G31)/G31</f>
        <v>0.002315361406270497</v>
      </c>
      <c r="I31" s="43">
        <f>K31/C31</f>
        <v>38.73353769461239</v>
      </c>
      <c r="J31" s="43">
        <f>K31/F31</f>
        <v>89.59131422064877</v>
      </c>
      <c r="K31" s="41">
        <f>SUM(K25:K30)</f>
        <v>13690717.5</v>
      </c>
      <c r="L31" s="41">
        <f>SUM(L25:L30)</f>
        <v>12835416.26</v>
      </c>
      <c r="M31" s="44">
        <f>(+K31-L31)/L31</f>
        <v>0.06663603444365428</v>
      </c>
      <c r="N31" s="10"/>
      <c r="R31" s="2"/>
    </row>
    <row r="32" spans="1:18" ht="15.75" customHeight="1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>
      <c r="A33" s="177" t="s">
        <v>67</v>
      </c>
      <c r="B33" s="20">
        <f>DATE(2014,7,1)</f>
        <v>41821</v>
      </c>
      <c r="C33" s="21">
        <v>421629</v>
      </c>
      <c r="D33" s="21">
        <v>527984</v>
      </c>
      <c r="E33" s="23">
        <f>(+C33-D33)/D33</f>
        <v>-0.2014360283644959</v>
      </c>
      <c r="F33" s="21">
        <f>+C33-215379</f>
        <v>206250</v>
      </c>
      <c r="G33" s="21">
        <f>+D33-281153</f>
        <v>246831</v>
      </c>
      <c r="H33" s="23">
        <f>(+F33-G33)/G33</f>
        <v>-0.16440803626772973</v>
      </c>
      <c r="I33" s="24">
        <f>K33/C33</f>
        <v>45.17589617886815</v>
      </c>
      <c r="J33" s="24">
        <f>K33/F33</f>
        <v>92.35135966060606</v>
      </c>
      <c r="K33" s="21">
        <v>19047467.93</v>
      </c>
      <c r="L33" s="21">
        <v>20715249.77</v>
      </c>
      <c r="M33" s="25">
        <f>(+K33-L33)/L33</f>
        <v>-0.08050985909015182</v>
      </c>
      <c r="N33" s="10"/>
      <c r="R33" s="2"/>
    </row>
    <row r="34" spans="1:18" ht="15.75" customHeight="1">
      <c r="A34" s="177"/>
      <c r="B34" s="20">
        <f>DATE(2014,8,1)</f>
        <v>41852</v>
      </c>
      <c r="C34" s="21">
        <v>422369</v>
      </c>
      <c r="D34" s="21">
        <v>496242</v>
      </c>
      <c r="E34" s="23">
        <f>(+C34-D34)/D34</f>
        <v>-0.14886486835052254</v>
      </c>
      <c r="F34" s="21">
        <f>+C34-216914</f>
        <v>205455</v>
      </c>
      <c r="G34" s="21">
        <f>+D34-262624</f>
        <v>233618</v>
      </c>
      <c r="H34" s="23">
        <f>(+F34-G34)/G34</f>
        <v>-0.12055149860027908</v>
      </c>
      <c r="I34" s="24">
        <f>K34/C34</f>
        <v>42.6421867608655</v>
      </c>
      <c r="J34" s="24">
        <f>K34/F34</f>
        <v>87.66268905599767</v>
      </c>
      <c r="K34" s="21">
        <v>18010737.78</v>
      </c>
      <c r="L34" s="21">
        <v>19804736.05</v>
      </c>
      <c r="M34" s="25">
        <f>(+K34-L34)/L34</f>
        <v>-0.09058430596958143</v>
      </c>
      <c r="N34" s="10"/>
      <c r="R34" s="2"/>
    </row>
    <row r="35" spans="1:18" ht="15.75" customHeight="1">
      <c r="A35" s="177"/>
      <c r="B35" s="20">
        <f>DATE(2014,9,1)</f>
        <v>41883</v>
      </c>
      <c r="C35" s="21">
        <v>376267</v>
      </c>
      <c r="D35" s="21">
        <v>463425</v>
      </c>
      <c r="E35" s="23">
        <f>(+C35-D35)/D35</f>
        <v>-0.18807358256460052</v>
      </c>
      <c r="F35" s="21">
        <f>+C35-189969</f>
        <v>186298</v>
      </c>
      <c r="G35" s="21">
        <f>+D35-254423</f>
        <v>209002</v>
      </c>
      <c r="H35" s="23">
        <f>(+F35-G35)/G35</f>
        <v>-0.1086305394206754</v>
      </c>
      <c r="I35" s="24">
        <f>K35/C35</f>
        <v>43.80500912915562</v>
      </c>
      <c r="J35" s="24">
        <f>K35/F35</f>
        <v>88.47319547177104</v>
      </c>
      <c r="K35" s="21">
        <v>16482379.37</v>
      </c>
      <c r="L35" s="21">
        <v>18416045.4</v>
      </c>
      <c r="M35" s="25">
        <f>(+K35-L35)/L35</f>
        <v>-0.10499898257201297</v>
      </c>
      <c r="N35" s="10"/>
      <c r="R35" s="2"/>
    </row>
    <row r="36" spans="1:18" ht="15.75" customHeight="1">
      <c r="A36" s="177"/>
      <c r="B36" s="20">
        <f>DATE(2014,10,1)</f>
        <v>41913</v>
      </c>
      <c r="C36" s="21">
        <v>398777</v>
      </c>
      <c r="D36" s="21">
        <v>451270</v>
      </c>
      <c r="E36" s="23">
        <f>(+C36-D36)/D36</f>
        <v>-0.11632282225718528</v>
      </c>
      <c r="F36" s="21">
        <f>C36-195700</f>
        <v>203077</v>
      </c>
      <c r="G36" s="21">
        <f>D36-250501</f>
        <v>200769</v>
      </c>
      <c r="H36" s="23">
        <f>(+F36-G36)/G36</f>
        <v>0.011495798654174699</v>
      </c>
      <c r="I36" s="24">
        <f>K36/C36</f>
        <v>45.40873899447561</v>
      </c>
      <c r="J36" s="24">
        <f>K36/F36</f>
        <v>89.1679545689566</v>
      </c>
      <c r="K36" s="21">
        <v>18107960.71</v>
      </c>
      <c r="L36" s="21">
        <v>17168126.88</v>
      </c>
      <c r="M36" s="25">
        <f>(+K36-L36)/L36</f>
        <v>0.054742945259500665</v>
      </c>
      <c r="N36" s="10"/>
      <c r="R36" s="2"/>
    </row>
    <row r="37" spans="1:18" ht="15.75" customHeight="1">
      <c r="A37" s="177"/>
      <c r="B37" s="20">
        <f>DATE(2014,11,1)</f>
        <v>41944</v>
      </c>
      <c r="C37" s="21">
        <v>394643</v>
      </c>
      <c r="D37" s="22">
        <v>461618</v>
      </c>
      <c r="E37" s="23">
        <f>(+C37-D37)/D37</f>
        <v>-0.14508749658808798</v>
      </c>
      <c r="F37" s="21">
        <f>C37-193341</f>
        <v>201302</v>
      </c>
      <c r="G37" s="21">
        <f>D37-262573</f>
        <v>199045</v>
      </c>
      <c r="H37" s="23">
        <f>(+F37-G37)/G37</f>
        <v>0.011339144414579618</v>
      </c>
      <c r="I37" s="24">
        <f>K37/C37</f>
        <v>43.58160235960096</v>
      </c>
      <c r="J37" s="24">
        <f>K37/F37</f>
        <v>85.43965931784086</v>
      </c>
      <c r="K37" s="21">
        <v>17199174.3</v>
      </c>
      <c r="L37" s="21">
        <v>17529388.63</v>
      </c>
      <c r="M37" s="25">
        <f>(+K37-L37)/L37</f>
        <v>-0.018837755096310978</v>
      </c>
      <c r="N37" s="10"/>
      <c r="R37" s="2"/>
    </row>
    <row r="38" spans="1:18" ht="15.75" thickBot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SUM(C33:C38)</f>
        <v>2013685</v>
      </c>
      <c r="D39" s="41">
        <f>SUM(D33:D38)</f>
        <v>2400539</v>
      </c>
      <c r="E39" s="283">
        <f>(+C39-D39)/D39</f>
        <v>-0.16115297439450058</v>
      </c>
      <c r="F39" s="41">
        <f>SUM(F33:F38)</f>
        <v>1002382</v>
      </c>
      <c r="G39" s="41">
        <f>SUM(G33:G38)</f>
        <v>1089265</v>
      </c>
      <c r="H39" s="42">
        <f>(+F39-G39)/G39</f>
        <v>-0.07976295942676943</v>
      </c>
      <c r="I39" s="43">
        <f>K39/C39</f>
        <v>44.12195556405296</v>
      </c>
      <c r="J39" s="43">
        <f>K39/F39</f>
        <v>88.63658773800806</v>
      </c>
      <c r="K39" s="41">
        <f>SUM(K33:K38)</f>
        <v>88847720.08999999</v>
      </c>
      <c r="L39" s="41">
        <f>SUM(L33:L38)</f>
        <v>93633546.72999999</v>
      </c>
      <c r="M39" s="44">
        <f>(+K39-L39)/L39</f>
        <v>-0.051112307577115754</v>
      </c>
      <c r="N39" s="10"/>
      <c r="R39" s="2"/>
    </row>
    <row r="40" spans="1:18" ht="15.75" thickTop="1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>
      <c r="A41" s="19" t="s">
        <v>16</v>
      </c>
      <c r="B41" s="20">
        <f>DATE(2014,7,1)</f>
        <v>41821</v>
      </c>
      <c r="C41" s="21">
        <v>319198</v>
      </c>
      <c r="D41" s="21">
        <v>328290</v>
      </c>
      <c r="E41" s="23">
        <f>(+C41-D41)/D41</f>
        <v>-0.027695025739437693</v>
      </c>
      <c r="F41" s="21">
        <f>+C41-151618</f>
        <v>167580</v>
      </c>
      <c r="G41" s="21">
        <f>+D41-151367</f>
        <v>176923</v>
      </c>
      <c r="H41" s="23">
        <f>(+F41-G41)/G41</f>
        <v>-0.05280828382968862</v>
      </c>
      <c r="I41" s="24">
        <f>K41/C41</f>
        <v>45.175578230440046</v>
      </c>
      <c r="J41" s="24">
        <f>K41/F41</f>
        <v>86.0481812865497</v>
      </c>
      <c r="K41" s="21">
        <v>14419954.22</v>
      </c>
      <c r="L41" s="21">
        <v>14865311.24</v>
      </c>
      <c r="M41" s="25">
        <f>(+K41-L41)/L41</f>
        <v>-0.02995948169599169</v>
      </c>
      <c r="N41" s="10"/>
      <c r="R41" s="2"/>
    </row>
    <row r="42" spans="1:18" ht="15.75">
      <c r="A42" s="19"/>
      <c r="B42" s="20">
        <f>DATE(2014,8,1)</f>
        <v>41852</v>
      </c>
      <c r="C42" s="21">
        <v>344204</v>
      </c>
      <c r="D42" s="21">
        <v>339771</v>
      </c>
      <c r="E42" s="23">
        <f>(+C42-D42)/D42</f>
        <v>0.013047022847741566</v>
      </c>
      <c r="F42" s="21">
        <f>+C42-162416</f>
        <v>181788</v>
      </c>
      <c r="G42" s="21">
        <f>+D42-158219</f>
        <v>181552</v>
      </c>
      <c r="H42" s="23">
        <f>(+F42-G42)/G42</f>
        <v>0.0012999030580770248</v>
      </c>
      <c r="I42" s="24">
        <f>K42/C42</f>
        <v>42.85400346887311</v>
      </c>
      <c r="J42" s="24">
        <f>K42/F42</f>
        <v>81.14132621515172</v>
      </c>
      <c r="K42" s="21">
        <v>14750519.41</v>
      </c>
      <c r="L42" s="21">
        <v>15514269.67</v>
      </c>
      <c r="M42" s="25">
        <f>(+K42-L42)/L42</f>
        <v>-0.04922888903219637</v>
      </c>
      <c r="N42" s="10"/>
      <c r="R42" s="2"/>
    </row>
    <row r="43" spans="1:18" ht="15.75">
      <c r="A43" s="19"/>
      <c r="B43" s="20">
        <f>DATE(2014,9,1)</f>
        <v>41883</v>
      </c>
      <c r="C43" s="21">
        <v>313842</v>
      </c>
      <c r="D43" s="21">
        <v>321452</v>
      </c>
      <c r="E43" s="23">
        <f>(+C43-D43)/D43</f>
        <v>-0.023673829996391373</v>
      </c>
      <c r="F43" s="21">
        <f>+C43-147906</f>
        <v>165936</v>
      </c>
      <c r="G43" s="21">
        <f>+D43-148195</f>
        <v>173257</v>
      </c>
      <c r="H43" s="23">
        <f>(+F43-G43)/G43</f>
        <v>-0.04225514697818847</v>
      </c>
      <c r="I43" s="24">
        <f>K43/C43</f>
        <v>45.35308298443166</v>
      </c>
      <c r="J43" s="24">
        <f>K43/F43</f>
        <v>85.77826553611031</v>
      </c>
      <c r="K43" s="21">
        <v>14233702.27</v>
      </c>
      <c r="L43" s="21">
        <v>14049207.19</v>
      </c>
      <c r="M43" s="25">
        <f>(+K43-L43)/L43</f>
        <v>0.013132063432826352</v>
      </c>
      <c r="N43" s="10"/>
      <c r="R43" s="2"/>
    </row>
    <row r="44" spans="1:18" ht="15.75">
      <c r="A44" s="19"/>
      <c r="B44" s="20">
        <f>DATE(2014,10,1)</f>
        <v>41913</v>
      </c>
      <c r="C44" s="21">
        <v>313776</v>
      </c>
      <c r="D44" s="21">
        <v>324126</v>
      </c>
      <c r="E44" s="23">
        <f>(+C44-D44)/D44</f>
        <v>-0.03193202643416449</v>
      </c>
      <c r="F44" s="21">
        <f>C44-151498</f>
        <v>162278</v>
      </c>
      <c r="G44" s="21">
        <f>D44-149108</f>
        <v>175018</v>
      </c>
      <c r="H44" s="23">
        <f>(+F44-G44)/G44</f>
        <v>-0.07279251277011507</v>
      </c>
      <c r="I44" s="24">
        <f>K44/C44</f>
        <v>46.82070932767325</v>
      </c>
      <c r="J44" s="24">
        <f>K44/F44</f>
        <v>90.53115573275491</v>
      </c>
      <c r="K44" s="21">
        <v>14691214.89</v>
      </c>
      <c r="L44" s="21">
        <v>15712922.04</v>
      </c>
      <c r="M44" s="25">
        <f>(+K44-L44)/L44</f>
        <v>-0.06502337040806692</v>
      </c>
      <c r="N44" s="10"/>
      <c r="R44" s="2"/>
    </row>
    <row r="45" spans="1:18" ht="15.75">
      <c r="A45" s="19"/>
      <c r="B45" s="20">
        <f>DATE(2014,11,1)</f>
        <v>41944</v>
      </c>
      <c r="C45" s="21">
        <v>315173</v>
      </c>
      <c r="D45" s="22">
        <v>334601</v>
      </c>
      <c r="E45" s="23">
        <f>(+C45-D45)/D45</f>
        <v>-0.05806318570476478</v>
      </c>
      <c r="F45" s="21">
        <f>C45-150832</f>
        <v>164341</v>
      </c>
      <c r="G45" s="21">
        <f>D45-156770</f>
        <v>177831</v>
      </c>
      <c r="H45" s="23">
        <f>(+F45-G45)/G45</f>
        <v>-0.07585853984963252</v>
      </c>
      <c r="I45" s="24">
        <f>K45/C45</f>
        <v>45.688485752269386</v>
      </c>
      <c r="J45" s="24">
        <f>K45/F45</f>
        <v>87.62133076955841</v>
      </c>
      <c r="K45" s="21">
        <v>14399777.12</v>
      </c>
      <c r="L45" s="21">
        <v>15616567.66</v>
      </c>
      <c r="M45" s="25">
        <f>(+K45-L45)/L45</f>
        <v>-0.0779166438164685</v>
      </c>
      <c r="N45" s="10"/>
      <c r="R45" s="2"/>
    </row>
    <row r="46" spans="1:18" ht="15.75" thickBot="1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SUM(C41:C46)</f>
        <v>1606193</v>
      </c>
      <c r="D47" s="41">
        <f>SUM(D41:D46)</f>
        <v>1648240</v>
      </c>
      <c r="E47" s="284">
        <f>(+C47-D47)/D47</f>
        <v>-0.025510241227005775</v>
      </c>
      <c r="F47" s="47">
        <f>SUM(F41:F46)</f>
        <v>841923</v>
      </c>
      <c r="G47" s="48">
        <f>SUM(G41:G46)</f>
        <v>884581</v>
      </c>
      <c r="H47" s="49">
        <f>(+F47-G47)/G47</f>
        <v>-0.048223961400934455</v>
      </c>
      <c r="I47" s="50">
        <f>K47/C47</f>
        <v>45.13478013538847</v>
      </c>
      <c r="J47" s="51">
        <f>K47/F47</f>
        <v>86.10664860088157</v>
      </c>
      <c r="K47" s="48">
        <f>SUM(K41:K46)</f>
        <v>72495167.91000001</v>
      </c>
      <c r="L47" s="47">
        <f>SUM(L41:L46)</f>
        <v>75758277.8</v>
      </c>
      <c r="M47" s="44">
        <f>(+K47-L47)/L47</f>
        <v>-0.043072651395462236</v>
      </c>
      <c r="N47" s="10"/>
      <c r="R47" s="2"/>
    </row>
    <row r="48" spans="1:18" ht="15.75" customHeight="1" thickTop="1">
      <c r="A48" s="275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276" t="s">
        <v>68</v>
      </c>
      <c r="B49" s="20">
        <f>DATE(2014,7,1)</f>
        <v>41821</v>
      </c>
      <c r="C49" s="21">
        <v>169515</v>
      </c>
      <c r="D49" s="21">
        <v>165951</v>
      </c>
      <c r="E49" s="23">
        <f>(+C49-D49)/D49</f>
        <v>0.021476218883887413</v>
      </c>
      <c r="F49" s="21">
        <f>+C49-78908</f>
        <v>90607</v>
      </c>
      <c r="G49" s="21">
        <f>+D49-83581</f>
        <v>82370</v>
      </c>
      <c r="H49" s="23">
        <f>(+F49-G49)/G49</f>
        <v>0.1</v>
      </c>
      <c r="I49" s="24">
        <f>K49/C49</f>
        <v>31.658122585021978</v>
      </c>
      <c r="J49" s="24">
        <f>K49/F49</f>
        <v>59.228609820433306</v>
      </c>
      <c r="K49" s="21">
        <v>5366526.65</v>
      </c>
      <c r="L49" s="21">
        <v>4860646.89</v>
      </c>
      <c r="M49" s="25">
        <f>(+K49-L49)/L49</f>
        <v>0.10407663248296581</v>
      </c>
      <c r="N49" s="10"/>
      <c r="R49" s="2"/>
    </row>
    <row r="50" spans="1:18" ht="15.75">
      <c r="A50" s="276"/>
      <c r="B50" s="20">
        <f>DATE(2014,8,1)</f>
        <v>41852</v>
      </c>
      <c r="C50" s="21">
        <v>181323</v>
      </c>
      <c r="D50" s="21">
        <v>175697</v>
      </c>
      <c r="E50" s="23">
        <f>(+C50-D50)/D50</f>
        <v>0.03202103621575781</v>
      </c>
      <c r="F50" s="21">
        <f>+C50-83317</f>
        <v>98006</v>
      </c>
      <c r="G50" s="21">
        <f>+D50-88595</f>
        <v>87102</v>
      </c>
      <c r="H50" s="23">
        <f>(+F50-G50)/G50</f>
        <v>0.12518656288030125</v>
      </c>
      <c r="I50" s="24">
        <f>K50/C50</f>
        <v>31.74803681827457</v>
      </c>
      <c r="J50" s="24">
        <f>K50/F50</f>
        <v>58.737722996551234</v>
      </c>
      <c r="K50" s="21">
        <v>5756649.28</v>
      </c>
      <c r="L50" s="21">
        <v>5163507.96</v>
      </c>
      <c r="M50" s="25">
        <f>(+K50-L50)/L50</f>
        <v>0.11487177411071528</v>
      </c>
      <c r="N50" s="10"/>
      <c r="R50" s="2"/>
    </row>
    <row r="51" spans="1:18" ht="15.75">
      <c r="A51" s="276"/>
      <c r="B51" s="20">
        <f>DATE(2014,9,1)</f>
        <v>41883</v>
      </c>
      <c r="C51" s="21">
        <v>150138</v>
      </c>
      <c r="D51" s="21">
        <v>144756</v>
      </c>
      <c r="E51" s="23">
        <f>(+C51-D51)/D51</f>
        <v>0.03717980601840338</v>
      </c>
      <c r="F51" s="21">
        <f>+C51-69946</f>
        <v>80192</v>
      </c>
      <c r="G51" s="21">
        <f>+D51-74140</f>
        <v>70616</v>
      </c>
      <c r="H51" s="23">
        <f>(+F51-G51)/G51</f>
        <v>0.13560666137985725</v>
      </c>
      <c r="I51" s="24">
        <f>K51/C51</f>
        <v>31.640715075463905</v>
      </c>
      <c r="J51" s="24">
        <f>K51/F51</f>
        <v>59.238748004788505</v>
      </c>
      <c r="K51" s="21">
        <v>4750473.68</v>
      </c>
      <c r="L51" s="21">
        <v>4610007.6</v>
      </c>
      <c r="M51" s="25">
        <f>(+K51-L51)/L51</f>
        <v>0.030469815277527977</v>
      </c>
      <c r="N51" s="10"/>
      <c r="R51" s="2"/>
    </row>
    <row r="52" spans="1:18" ht="15.75">
      <c r="A52" s="276"/>
      <c r="B52" s="20">
        <f>DATE(2014,10,1)</f>
        <v>41913</v>
      </c>
      <c r="C52" s="21">
        <v>160700</v>
      </c>
      <c r="D52" s="21">
        <v>131947</v>
      </c>
      <c r="E52" s="23">
        <f>(+C52-D52)/D52</f>
        <v>0.21791325304857254</v>
      </c>
      <c r="F52" s="21">
        <f>C52-73888</f>
        <v>86812</v>
      </c>
      <c r="G52" s="21">
        <f>D52-66592</f>
        <v>65355</v>
      </c>
      <c r="H52" s="23">
        <f>(+F52-G52)/G52</f>
        <v>0.32831458954938414</v>
      </c>
      <c r="I52" s="24">
        <f>K52/C52</f>
        <v>32.02404542626011</v>
      </c>
      <c r="J52" s="24">
        <f>K52/F52</f>
        <v>59.28056144311846</v>
      </c>
      <c r="K52" s="21">
        <v>5146264.1</v>
      </c>
      <c r="L52" s="21">
        <v>4252155.2</v>
      </c>
      <c r="M52" s="25">
        <f>(+K52-L52)/L52</f>
        <v>0.21027193457096754</v>
      </c>
      <c r="N52" s="10"/>
      <c r="R52" s="2"/>
    </row>
    <row r="53" spans="1:18" ht="15.75">
      <c r="A53" s="276"/>
      <c r="B53" s="20">
        <f>DATE(2014,11,1)</f>
        <v>41944</v>
      </c>
      <c r="C53" s="21">
        <v>158782</v>
      </c>
      <c r="D53" s="22">
        <v>142720</v>
      </c>
      <c r="E53" s="23">
        <f>(+C53-D53)/D53</f>
        <v>0.11254204035874439</v>
      </c>
      <c r="F53" s="21">
        <f>C53-74770</f>
        <v>84012</v>
      </c>
      <c r="G53" s="21">
        <f>D53-74196</f>
        <v>68524</v>
      </c>
      <c r="H53" s="23">
        <f>(+F53-G53)/G53</f>
        <v>0.2260229992411418</v>
      </c>
      <c r="I53" s="24">
        <f>K53/C53</f>
        <v>31.406179100905643</v>
      </c>
      <c r="J53" s="24">
        <f>K53/F53</f>
        <v>59.35742429652906</v>
      </c>
      <c r="K53" s="21">
        <v>4986735.93</v>
      </c>
      <c r="L53" s="21">
        <v>4669598.79</v>
      </c>
      <c r="M53" s="25">
        <f>(+K53-L53)/L53</f>
        <v>0.06791528657218956</v>
      </c>
      <c r="N53" s="10"/>
      <c r="R53" s="2"/>
    </row>
    <row r="54" spans="1:18" ht="15.75" customHeight="1" thickBot="1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customHeight="1" thickBot="1" thickTop="1">
      <c r="A55" s="39" t="s">
        <v>14</v>
      </c>
      <c r="B55" s="52"/>
      <c r="C55" s="47">
        <f>SUM(C49:C54)</f>
        <v>820458</v>
      </c>
      <c r="D55" s="48">
        <f>SUM(D49:D54)</f>
        <v>761071</v>
      </c>
      <c r="E55" s="284">
        <f>(+C55-D55)/D55</f>
        <v>0.07803082761003902</v>
      </c>
      <c r="F55" s="48">
        <f>SUM(F49:F54)</f>
        <v>439629</v>
      </c>
      <c r="G55" s="47">
        <f>SUM(G49:G54)</f>
        <v>373967</v>
      </c>
      <c r="H55" s="46">
        <f>(+F55-G55)/G55</f>
        <v>0.17558233747897542</v>
      </c>
      <c r="I55" s="51">
        <f>K55/C55</f>
        <v>31.697722052804654</v>
      </c>
      <c r="J55" s="50">
        <f>K55/F55</f>
        <v>59.15590108932759</v>
      </c>
      <c r="K55" s="47">
        <f>SUM(K49:K54)</f>
        <v>26006649.64</v>
      </c>
      <c r="L55" s="48">
        <f>SUM(L49:L54)</f>
        <v>23555916.439999998</v>
      </c>
      <c r="M55" s="44">
        <f>(+K55-L55)/L55</f>
        <v>0.10403896644150276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17</v>
      </c>
      <c r="B57" s="20">
        <f>DATE(2014,7,1)</f>
        <v>41821</v>
      </c>
      <c r="C57" s="21">
        <v>237534</v>
      </c>
      <c r="D57" s="21">
        <v>238714</v>
      </c>
      <c r="E57" s="23">
        <f>(+C57-D57)/D57</f>
        <v>-0.004943153732081068</v>
      </c>
      <c r="F57" s="21">
        <f>+C57-122793</f>
        <v>114741</v>
      </c>
      <c r="G57" s="21">
        <f>+D57-112243</f>
        <v>126471</v>
      </c>
      <c r="H57" s="23">
        <f>(+F57-G57)/G57</f>
        <v>-0.09274853523732714</v>
      </c>
      <c r="I57" s="24">
        <f>K57/C57</f>
        <v>26.70813475123561</v>
      </c>
      <c r="J57" s="24">
        <f>K57/F57</f>
        <v>55.290524572733375</v>
      </c>
      <c r="K57" s="21">
        <v>6344090.08</v>
      </c>
      <c r="L57" s="21">
        <v>6571271.23</v>
      </c>
      <c r="M57" s="25">
        <f>(+K57-L57)/L57</f>
        <v>-0.03457187232857536</v>
      </c>
      <c r="N57" s="10"/>
      <c r="R57" s="2"/>
    </row>
    <row r="58" spans="1:18" ht="15.75">
      <c r="A58" s="19"/>
      <c r="B58" s="20">
        <f>DATE(2014,8,1)</f>
        <v>41852</v>
      </c>
      <c r="C58" s="21">
        <v>229771</v>
      </c>
      <c r="D58" s="21">
        <v>242695</v>
      </c>
      <c r="E58" s="23">
        <f>(+C58-D58)/D58</f>
        <v>-0.053252024145532456</v>
      </c>
      <c r="F58" s="21">
        <f>+C58-114313</f>
        <v>115458</v>
      </c>
      <c r="G58" s="21">
        <f>+D58-116570</f>
        <v>126125</v>
      </c>
      <c r="H58" s="23">
        <f>(+F58-G58)/G58</f>
        <v>-0.08457482656095144</v>
      </c>
      <c r="I58" s="24">
        <f>K58/C58</f>
        <v>27.943566725130673</v>
      </c>
      <c r="J58" s="24">
        <f>K58/F58</f>
        <v>55.61001636958894</v>
      </c>
      <c r="K58" s="21">
        <v>6420621.27</v>
      </c>
      <c r="L58" s="21">
        <v>6532918.94</v>
      </c>
      <c r="M58" s="25">
        <f>(+K58-L58)/L58</f>
        <v>-0.017189509166020793</v>
      </c>
      <c r="N58" s="10"/>
      <c r="R58" s="2"/>
    </row>
    <row r="59" spans="1:18" ht="15.75">
      <c r="A59" s="19"/>
      <c r="B59" s="20">
        <f>DATE(2014,9,1)</f>
        <v>41883</v>
      </c>
      <c r="C59" s="21">
        <v>204323</v>
      </c>
      <c r="D59" s="21">
        <v>223266</v>
      </c>
      <c r="E59" s="23">
        <f>(+C59-D59)/D59</f>
        <v>-0.08484498311431207</v>
      </c>
      <c r="F59" s="21">
        <f>+C59-98157</f>
        <v>106166</v>
      </c>
      <c r="G59" s="21">
        <f>+D59-107094</f>
        <v>116172</v>
      </c>
      <c r="H59" s="23">
        <f>(+F59-G59)/G59</f>
        <v>-0.08613090934132149</v>
      </c>
      <c r="I59" s="24">
        <f>K59/C59</f>
        <v>29.48400302462278</v>
      </c>
      <c r="J59" s="24">
        <f>K59/F59</f>
        <v>56.74377813989413</v>
      </c>
      <c r="K59" s="21">
        <v>6024259.95</v>
      </c>
      <c r="L59" s="21">
        <v>6131290.82</v>
      </c>
      <c r="M59" s="25">
        <f>(+K59-L59)/L59</f>
        <v>-0.017456498662707393</v>
      </c>
      <c r="N59" s="10"/>
      <c r="R59" s="2"/>
    </row>
    <row r="60" spans="1:18" ht="15.75">
      <c r="A60" s="19"/>
      <c r="B60" s="20">
        <f>DATE(2014,10,1)</f>
        <v>41913</v>
      </c>
      <c r="C60" s="21">
        <v>210762</v>
      </c>
      <c r="D60" s="21">
        <v>220292</v>
      </c>
      <c r="E60" s="23">
        <f>(+C60-D60)/D60</f>
        <v>-0.04326076298730776</v>
      </c>
      <c r="F60" s="21">
        <f>C60-103458</f>
        <v>107304</v>
      </c>
      <c r="G60" s="21">
        <f>D60-108103</f>
        <v>112189</v>
      </c>
      <c r="H60" s="23">
        <f>(+F60-G60)/G60</f>
        <v>-0.04354259330237367</v>
      </c>
      <c r="I60" s="24">
        <f>K60/C60</f>
        <v>29.644767083250304</v>
      </c>
      <c r="J60" s="24">
        <f>K60/F60</f>
        <v>58.2270036531723</v>
      </c>
      <c r="K60" s="21">
        <v>6247990.4</v>
      </c>
      <c r="L60" s="21">
        <v>6233760.76</v>
      </c>
      <c r="M60" s="25">
        <f>(+K60-L60)/L60</f>
        <v>0.0022826734210442488</v>
      </c>
      <c r="N60" s="10"/>
      <c r="R60" s="2"/>
    </row>
    <row r="61" spans="1:18" ht="15.75">
      <c r="A61" s="19"/>
      <c r="B61" s="20">
        <f>DATE(2014,11,1)</f>
        <v>41944</v>
      </c>
      <c r="C61" s="21">
        <v>201690</v>
      </c>
      <c r="D61" s="22">
        <v>207358</v>
      </c>
      <c r="E61" s="23">
        <f>(+C61-D61)/D61</f>
        <v>-0.027334368579943865</v>
      </c>
      <c r="F61" s="21">
        <f>C61-98548</f>
        <v>103142</v>
      </c>
      <c r="G61" s="21">
        <f>D61-102857</f>
        <v>104501</v>
      </c>
      <c r="H61" s="23">
        <f>(+F61-G61)/G61</f>
        <v>-0.013004660242485718</v>
      </c>
      <c r="I61" s="24">
        <f>K61/C61</f>
        <v>30.465635480192372</v>
      </c>
      <c r="J61" s="24">
        <f>K61/F61</f>
        <v>59.57431521591592</v>
      </c>
      <c r="K61" s="21">
        <v>6144614.02</v>
      </c>
      <c r="L61" s="21">
        <v>6026158.01</v>
      </c>
      <c r="M61" s="25">
        <f>(+K61-L61)/L61</f>
        <v>0.019656970461682233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customHeight="1" thickBot="1" thickTop="1">
      <c r="A63" s="39" t="s">
        <v>14</v>
      </c>
      <c r="B63" s="52"/>
      <c r="C63" s="47">
        <f>SUM(C57:C62)</f>
        <v>1084080</v>
      </c>
      <c r="D63" s="48">
        <f>SUM(D57:D62)</f>
        <v>1132325</v>
      </c>
      <c r="E63" s="284">
        <f>(+C63-D63)/D63</f>
        <v>-0.042607025368158434</v>
      </c>
      <c r="F63" s="48">
        <f>SUM(F57:F62)</f>
        <v>546811</v>
      </c>
      <c r="G63" s="47">
        <f>SUM(G57:G62)</f>
        <v>585458</v>
      </c>
      <c r="H63" s="53">
        <f>(+F63-G63)/G63</f>
        <v>-0.06601156701249278</v>
      </c>
      <c r="I63" s="51">
        <f>K63/C63</f>
        <v>28.763168511548965</v>
      </c>
      <c r="J63" s="50">
        <f>K63/F63</f>
        <v>57.02441194489504</v>
      </c>
      <c r="K63" s="47">
        <f>SUM(K57:K62)</f>
        <v>31181575.720000003</v>
      </c>
      <c r="L63" s="48">
        <f>SUM(L57:L62)</f>
        <v>31495399.759999998</v>
      </c>
      <c r="M63" s="44">
        <f>(+K63-L63)/L63</f>
        <v>-0.00996412309071753</v>
      </c>
      <c r="N63" s="10"/>
      <c r="R63" s="2"/>
    </row>
    <row r="64" spans="1:18" ht="15.75" customHeight="1" thickTop="1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>
      <c r="A65" s="19" t="s">
        <v>69</v>
      </c>
      <c r="B65" s="20">
        <f>DATE(2014,7,1)</f>
        <v>41821</v>
      </c>
      <c r="C65" s="21">
        <v>381777</v>
      </c>
      <c r="D65" s="21">
        <v>376879</v>
      </c>
      <c r="E65" s="23">
        <f>(+C65-D65)/D65</f>
        <v>0.012996213638860218</v>
      </c>
      <c r="F65" s="21">
        <f>+C65-188816</f>
        <v>192961</v>
      </c>
      <c r="G65" s="21">
        <f>+D65-189072</f>
        <v>187807</v>
      </c>
      <c r="H65" s="23">
        <f>(+F65-G65)/G65</f>
        <v>0.027443066552364927</v>
      </c>
      <c r="I65" s="24">
        <f>K65/C65</f>
        <v>30.911281166754414</v>
      </c>
      <c r="J65" s="24">
        <f>K65/F65</f>
        <v>61.15855634040039</v>
      </c>
      <c r="K65" s="21">
        <v>11801216.19</v>
      </c>
      <c r="L65" s="21">
        <v>11369007.65</v>
      </c>
      <c r="M65" s="25">
        <f>(+K65-L65)/L65</f>
        <v>0.0380163821949754</v>
      </c>
      <c r="N65" s="10"/>
      <c r="R65" s="2"/>
    </row>
    <row r="66" spans="1:18" ht="15.75" customHeight="1">
      <c r="A66" s="19"/>
      <c r="B66" s="20">
        <f>DATE(2014,8,1)</f>
        <v>41852</v>
      </c>
      <c r="C66" s="21">
        <v>398587</v>
      </c>
      <c r="D66" s="21">
        <v>399184</v>
      </c>
      <c r="E66" s="23">
        <f>(+C66-D66)/D66</f>
        <v>-0.0014955509238847248</v>
      </c>
      <c r="F66" s="21">
        <f>+C66-196528</f>
        <v>202059</v>
      </c>
      <c r="G66" s="21">
        <f>+D66-197151</f>
        <v>202033</v>
      </c>
      <c r="H66" s="23">
        <f>(+F66-G66)/G66</f>
        <v>0.000128691847371469</v>
      </c>
      <c r="I66" s="24">
        <f>K66/C66</f>
        <v>32.28389488367659</v>
      </c>
      <c r="J66" s="24">
        <f>K66/F66</f>
        <v>63.684076482611516</v>
      </c>
      <c r="K66" s="21">
        <v>12867940.81</v>
      </c>
      <c r="L66" s="21">
        <v>12782620.55</v>
      </c>
      <c r="M66" s="25">
        <f>(+K66-L66)/L66</f>
        <v>0.00667470802768997</v>
      </c>
      <c r="N66" s="10"/>
      <c r="R66" s="2"/>
    </row>
    <row r="67" spans="1:18" ht="15.75" customHeight="1">
      <c r="A67" s="19"/>
      <c r="B67" s="20">
        <f>DATE(2014,9,1)</f>
        <v>41883</v>
      </c>
      <c r="C67" s="21">
        <v>349419</v>
      </c>
      <c r="D67" s="21">
        <v>372710</v>
      </c>
      <c r="E67" s="23">
        <f>(+C67-D67)/D67</f>
        <v>-0.062490944702315476</v>
      </c>
      <c r="F67" s="21">
        <f>+C67-171468</f>
        <v>177951</v>
      </c>
      <c r="G67" s="21">
        <f>+D67-184970</f>
        <v>187740</v>
      </c>
      <c r="H67" s="23">
        <f>(+F67-G67)/G67</f>
        <v>-0.05214125918823905</v>
      </c>
      <c r="I67" s="24">
        <f>K67/C67</f>
        <v>32.638578669162236</v>
      </c>
      <c r="J67" s="24">
        <f>K67/F67</f>
        <v>64.0880889683115</v>
      </c>
      <c r="K67" s="21">
        <v>11404539.52</v>
      </c>
      <c r="L67" s="21">
        <v>11827624.97</v>
      </c>
      <c r="M67" s="25">
        <f>(+K67-L67)/L67</f>
        <v>-0.03577095579823758</v>
      </c>
      <c r="N67" s="10"/>
      <c r="R67" s="2"/>
    </row>
    <row r="68" spans="1:18" ht="15.75" customHeight="1">
      <c r="A68" s="19"/>
      <c r="B68" s="20">
        <f>DATE(2014,10,1)</f>
        <v>41913</v>
      </c>
      <c r="C68" s="21">
        <v>346830</v>
      </c>
      <c r="D68" s="21">
        <v>357387</v>
      </c>
      <c r="E68" s="23">
        <f>(+C68-D68)/D68</f>
        <v>-0.0295394068614695</v>
      </c>
      <c r="F68" s="21">
        <f>C68-170451</f>
        <v>176379</v>
      </c>
      <c r="G68" s="21">
        <f>D68-179117</f>
        <v>178270</v>
      </c>
      <c r="H68" s="23">
        <f>(+F68-G68)/G68</f>
        <v>-0.010607505469232064</v>
      </c>
      <c r="I68" s="24">
        <f>K68/C68</f>
        <v>33.62628988265144</v>
      </c>
      <c r="J68" s="24">
        <f>K68/F68</f>
        <v>66.12241888206646</v>
      </c>
      <c r="K68" s="21">
        <v>11662606.12</v>
      </c>
      <c r="L68" s="21">
        <v>12208855.6</v>
      </c>
      <c r="M68" s="25">
        <f>(+K68-L68)/L68</f>
        <v>-0.044742070665493044</v>
      </c>
      <c r="N68" s="10"/>
      <c r="R68" s="2"/>
    </row>
    <row r="69" spans="1:18" ht="15.75" customHeight="1">
      <c r="A69" s="19"/>
      <c r="B69" s="20">
        <f>DATE(2014,11,1)</f>
        <v>41944</v>
      </c>
      <c r="C69" s="21">
        <v>318650</v>
      </c>
      <c r="D69" s="22">
        <v>379613</v>
      </c>
      <c r="E69" s="23">
        <f>(+C69-D69)/D69</f>
        <v>-0.16059249814943113</v>
      </c>
      <c r="F69" s="21">
        <f>C69-161543</f>
        <v>157107</v>
      </c>
      <c r="G69" s="21">
        <f>D69-192885</f>
        <v>186728</v>
      </c>
      <c r="H69" s="23">
        <f>(+F69-G69)/G69</f>
        <v>-0.15863180669208687</v>
      </c>
      <c r="I69" s="24">
        <f>K69/C69</f>
        <v>33.55982949945081</v>
      </c>
      <c r="J69" s="24">
        <f>K69/F69</f>
        <v>68.06723869719363</v>
      </c>
      <c r="K69" s="21">
        <v>10693839.67</v>
      </c>
      <c r="L69" s="21">
        <v>11314882.89</v>
      </c>
      <c r="M69" s="25">
        <f>(+K69-L69)/L69</f>
        <v>-0.054887286597448876</v>
      </c>
      <c r="N69" s="10"/>
      <c r="R69" s="2"/>
    </row>
    <row r="70" spans="1:18" ht="15.75" customHeight="1" thickBot="1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Bot="1" thickTop="1">
      <c r="A71" s="39" t="s">
        <v>14</v>
      </c>
      <c r="B71" s="40"/>
      <c r="C71" s="41">
        <f>SUM(C65:C70)</f>
        <v>1795263</v>
      </c>
      <c r="D71" s="41">
        <f>SUM(D65:D70)</f>
        <v>1885773</v>
      </c>
      <c r="E71" s="283">
        <f>(+C71-D71)/D71</f>
        <v>-0.04799623284456825</v>
      </c>
      <c r="F71" s="41">
        <f>SUM(F65:F70)</f>
        <v>906457</v>
      </c>
      <c r="G71" s="41">
        <f>SUM(G65:G70)</f>
        <v>942578</v>
      </c>
      <c r="H71" s="42">
        <f>(+F71-G71)/G71</f>
        <v>-0.03832149700077871</v>
      </c>
      <c r="I71" s="43">
        <f>K71/C71</f>
        <v>32.54684261303218</v>
      </c>
      <c r="J71" s="43">
        <f>K71/F71</f>
        <v>64.45991625636957</v>
      </c>
      <c r="K71" s="41">
        <f>SUM(K65:K70)</f>
        <v>58430142.309999995</v>
      </c>
      <c r="L71" s="41">
        <f>SUM(L65:L70)</f>
        <v>59502991.660000004</v>
      </c>
      <c r="M71" s="44">
        <f>(+K71-L71)/L71</f>
        <v>-0.018030174955408432</v>
      </c>
      <c r="N71" s="10"/>
      <c r="R71" s="2"/>
    </row>
    <row r="72" spans="1:18" ht="15.75" customHeight="1" thickTop="1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>
      <c r="A73" s="19" t="s">
        <v>18</v>
      </c>
      <c r="B73" s="20">
        <f>DATE(2014,7,1)</f>
        <v>41821</v>
      </c>
      <c r="C73" s="21">
        <v>513388</v>
      </c>
      <c r="D73" s="21">
        <v>502822</v>
      </c>
      <c r="E73" s="23">
        <f>(+C73-D73)/D73</f>
        <v>0.021013400368321195</v>
      </c>
      <c r="F73" s="21">
        <f>+C73-254695</f>
        <v>258693</v>
      </c>
      <c r="G73" s="21">
        <f>+D73-253388</f>
        <v>249434</v>
      </c>
      <c r="H73" s="23">
        <f>(+F73-G73)/G73</f>
        <v>0.037120039770039366</v>
      </c>
      <c r="I73" s="24">
        <f>K73/C73</f>
        <v>33.67282865980506</v>
      </c>
      <c r="J73" s="24">
        <f>K73/F73</f>
        <v>66.82525681019587</v>
      </c>
      <c r="K73" s="21">
        <v>17287226.16</v>
      </c>
      <c r="L73" s="21">
        <v>17263520.77</v>
      </c>
      <c r="M73" s="25">
        <f>(+K73-L73)/L73</f>
        <v>0.0013731492153787699</v>
      </c>
      <c r="N73" s="10"/>
      <c r="R73" s="2"/>
    </row>
    <row r="74" spans="1:18" ht="15.75" customHeight="1">
      <c r="A74" s="19"/>
      <c r="B74" s="20">
        <f>DATE(2014,8,1)</f>
        <v>41852</v>
      </c>
      <c r="C74" s="21">
        <v>503846</v>
      </c>
      <c r="D74" s="21">
        <v>566727</v>
      </c>
      <c r="E74" s="23">
        <f>(+C74-D74)/D74</f>
        <v>-0.11095465718061782</v>
      </c>
      <c r="F74" s="21">
        <f>+C74-249972</f>
        <v>253874</v>
      </c>
      <c r="G74" s="21">
        <f>+D74-280832</f>
        <v>285895</v>
      </c>
      <c r="H74" s="23">
        <f>(+F74-G74)/G74</f>
        <v>-0.11200265831861347</v>
      </c>
      <c r="I74" s="24">
        <f>K74/C74</f>
        <v>34.77901624702786</v>
      </c>
      <c r="J74" s="24">
        <f>K74/F74</f>
        <v>69.0234849571047</v>
      </c>
      <c r="K74" s="21">
        <v>17523268.22</v>
      </c>
      <c r="L74" s="21">
        <v>18011496.3</v>
      </c>
      <c r="M74" s="25">
        <f>(+K74-L74)/L74</f>
        <v>-0.027106469771753607</v>
      </c>
      <c r="N74" s="10"/>
      <c r="R74" s="2"/>
    </row>
    <row r="75" spans="1:18" ht="15.75" customHeight="1">
      <c r="A75" s="19"/>
      <c r="B75" s="20">
        <f>DATE(2014,9,1)</f>
        <v>41883</v>
      </c>
      <c r="C75" s="21">
        <v>423883</v>
      </c>
      <c r="D75" s="21">
        <v>471960</v>
      </c>
      <c r="E75" s="23">
        <f>(+C75-D75)/D75</f>
        <v>-0.1018666836172557</v>
      </c>
      <c r="F75" s="21">
        <f>+C75-210874</f>
        <v>213009</v>
      </c>
      <c r="G75" s="21">
        <f>+D75-238969</f>
        <v>232991</v>
      </c>
      <c r="H75" s="23">
        <f>(+F75-G75)/G75</f>
        <v>-0.08576296938508354</v>
      </c>
      <c r="I75" s="24">
        <f>K75/C75</f>
        <v>34.68308328005605</v>
      </c>
      <c r="J75" s="24">
        <f>K75/F75</f>
        <v>69.01853625903131</v>
      </c>
      <c r="K75" s="21">
        <v>14701569.39</v>
      </c>
      <c r="L75" s="21">
        <v>15867099.53</v>
      </c>
      <c r="M75" s="25">
        <f>(+K75-L75)/L75</f>
        <v>-0.0734557779634725</v>
      </c>
      <c r="N75" s="10"/>
      <c r="R75" s="2"/>
    </row>
    <row r="76" spans="1:18" ht="15.75" customHeight="1">
      <c r="A76" s="19"/>
      <c r="B76" s="20">
        <f>DATE(2014,10,1)</f>
        <v>41913</v>
      </c>
      <c r="C76" s="21">
        <v>423551</v>
      </c>
      <c r="D76" s="21">
        <v>458275</v>
      </c>
      <c r="E76" s="23">
        <f>(+C76-D76)/D76</f>
        <v>-0.07577109813976324</v>
      </c>
      <c r="F76" s="21">
        <f>C76-214777</f>
        <v>208774</v>
      </c>
      <c r="G76" s="21">
        <f>D76-236826</f>
        <v>221449</v>
      </c>
      <c r="H76" s="23">
        <f>(+F76-G76)/G76</f>
        <v>-0.057236654940866744</v>
      </c>
      <c r="I76" s="24">
        <f>K76/C76</f>
        <v>37.36324867607443</v>
      </c>
      <c r="J76" s="24">
        <f>K76/F76</f>
        <v>75.80082452795847</v>
      </c>
      <c r="K76" s="21">
        <v>15825241.34</v>
      </c>
      <c r="L76" s="21">
        <v>16174223.64</v>
      </c>
      <c r="M76" s="25">
        <f>(+K76-L76)/L76</f>
        <v>-0.02157644829003989</v>
      </c>
      <c r="N76" s="10"/>
      <c r="R76" s="2"/>
    </row>
    <row r="77" spans="1:18" ht="15.75" customHeight="1">
      <c r="A77" s="19"/>
      <c r="B77" s="20">
        <f>DATE(2014,11,1)</f>
        <v>41944</v>
      </c>
      <c r="C77" s="21">
        <v>431949</v>
      </c>
      <c r="D77" s="22">
        <v>484130</v>
      </c>
      <c r="E77" s="23">
        <f>(+C77-D77)/D77</f>
        <v>-0.10778303348274224</v>
      </c>
      <c r="F77" s="21">
        <f>C77-216466</f>
        <v>215483</v>
      </c>
      <c r="G77" s="21">
        <f>D77-250719</f>
        <v>233411</v>
      </c>
      <c r="H77" s="23">
        <f>(+F77-G77)/G77</f>
        <v>-0.07680871938340524</v>
      </c>
      <c r="I77" s="24">
        <f>K77/C77</f>
        <v>33.962604844553404</v>
      </c>
      <c r="J77" s="24">
        <f>K77/F77</f>
        <v>68.08014182093251</v>
      </c>
      <c r="K77" s="21">
        <v>14670113.2</v>
      </c>
      <c r="L77" s="21">
        <v>16428973.72</v>
      </c>
      <c r="M77" s="25">
        <f>(+K77-L77)/L77</f>
        <v>-0.1070584535574996</v>
      </c>
      <c r="N77" s="10"/>
      <c r="R77" s="2"/>
    </row>
    <row r="78" spans="1:18" ht="15.75" customHeight="1" thickBot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SUM(C73:C78)</f>
        <v>2296617</v>
      </c>
      <c r="D79" s="41">
        <f>SUM(D73:D78)</f>
        <v>2483914</v>
      </c>
      <c r="E79" s="283">
        <f>(+C79-D79)/D79</f>
        <v>-0.07540397936482503</v>
      </c>
      <c r="F79" s="41">
        <f>SUM(F73:F78)</f>
        <v>1149833</v>
      </c>
      <c r="G79" s="41">
        <f>SUM(G73:G78)</f>
        <v>1223180</v>
      </c>
      <c r="H79" s="42">
        <f>(+F79-G79)/G79</f>
        <v>-0.059964191697051944</v>
      </c>
      <c r="I79" s="43">
        <f>K79/C79</f>
        <v>34.83707484095084</v>
      </c>
      <c r="J79" s="43">
        <f>K79/F79</f>
        <v>69.58177257914845</v>
      </c>
      <c r="K79" s="41">
        <f>SUM(K73:K78)</f>
        <v>80007418.31</v>
      </c>
      <c r="L79" s="41">
        <f>SUM(L73:L78)</f>
        <v>83745313.96000001</v>
      </c>
      <c r="M79" s="44">
        <f>(+K79-L79)/L79</f>
        <v>-0.04463408724917276</v>
      </c>
      <c r="N79" s="10"/>
      <c r="R79" s="2"/>
    </row>
    <row r="80" spans="1:18" ht="15.75" customHeight="1" thickTop="1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>
      <c r="A81" s="19" t="s">
        <v>58</v>
      </c>
      <c r="B81" s="20">
        <f>DATE(2014,7,1)</f>
        <v>41821</v>
      </c>
      <c r="C81" s="21">
        <v>498239</v>
      </c>
      <c r="D81" s="21">
        <v>478335</v>
      </c>
      <c r="E81" s="23">
        <f>(+C81-D81)/D81</f>
        <v>0.04161100483970439</v>
      </c>
      <c r="F81" s="21">
        <f>+C81-242414</f>
        <v>255825</v>
      </c>
      <c r="G81" s="21">
        <f>+D81-233675</f>
        <v>244660</v>
      </c>
      <c r="H81" s="23">
        <f>(+F81-G81)/G81</f>
        <v>0.04563475844028447</v>
      </c>
      <c r="I81" s="24">
        <f>K81/C81</f>
        <v>35.603950212648954</v>
      </c>
      <c r="J81" s="24">
        <f>K81/F81</f>
        <v>69.34145040555067</v>
      </c>
      <c r="K81" s="21">
        <v>17739276.55</v>
      </c>
      <c r="L81" s="21">
        <v>16395076.56</v>
      </c>
      <c r="M81" s="25">
        <f>(+K81-L81)/L81</f>
        <v>0.08198802763016803</v>
      </c>
      <c r="N81" s="10"/>
      <c r="R81" s="2"/>
    </row>
    <row r="82" spans="1:18" ht="15.75" customHeight="1">
      <c r="A82" s="19"/>
      <c r="B82" s="20">
        <f>DATE(2014,8,1)</f>
        <v>41852</v>
      </c>
      <c r="C82" s="21">
        <v>548272</v>
      </c>
      <c r="D82" s="21">
        <v>529390</v>
      </c>
      <c r="E82" s="23">
        <f>(+C82-D82)/D82</f>
        <v>0.03566746632917131</v>
      </c>
      <c r="F82" s="21">
        <f>+C82-270985</f>
        <v>277287</v>
      </c>
      <c r="G82" s="21">
        <f>+D82-256440</f>
        <v>272950</v>
      </c>
      <c r="H82" s="23">
        <f>(+F82-G82)/G82</f>
        <v>0.01588935702509617</v>
      </c>
      <c r="I82" s="24">
        <f>K82/C82</f>
        <v>34.53328689044854</v>
      </c>
      <c r="J82" s="24">
        <f>K82/F82</f>
        <v>68.28172352111712</v>
      </c>
      <c r="K82" s="21">
        <v>18933634.27</v>
      </c>
      <c r="L82" s="21">
        <v>18161372.56</v>
      </c>
      <c r="M82" s="25">
        <f>(+K82-L82)/L82</f>
        <v>0.04252221066709955</v>
      </c>
      <c r="N82" s="10"/>
      <c r="R82" s="2"/>
    </row>
    <row r="83" spans="1:18" ht="15.75" customHeight="1">
      <c r="A83" s="19"/>
      <c r="B83" s="20">
        <f>DATE(2014,9,1)</f>
        <v>41883</v>
      </c>
      <c r="C83" s="21">
        <v>462127</v>
      </c>
      <c r="D83" s="21">
        <v>505814</v>
      </c>
      <c r="E83" s="23">
        <f>(+C83-D83)/D83</f>
        <v>-0.08636969320738454</v>
      </c>
      <c r="F83" s="21">
        <f>+C83-224687</f>
        <v>237440</v>
      </c>
      <c r="G83" s="21">
        <f>+D83-247916</f>
        <v>257898</v>
      </c>
      <c r="H83" s="23">
        <f>(+F83-G83)/G83</f>
        <v>-0.0793259350595972</v>
      </c>
      <c r="I83" s="24">
        <f>K83/C83</f>
        <v>36.104868055750906</v>
      </c>
      <c r="J83" s="24">
        <f>K83/F83</f>
        <v>70.27052880727763</v>
      </c>
      <c r="K83" s="21">
        <v>16685034.36</v>
      </c>
      <c r="L83" s="21">
        <v>17139972.22</v>
      </c>
      <c r="M83" s="25">
        <f>(+K83-L83)/L83</f>
        <v>-0.0265425085969013</v>
      </c>
      <c r="N83" s="10"/>
      <c r="R83" s="2"/>
    </row>
    <row r="84" spans="1:18" ht="15.75" customHeight="1">
      <c r="A84" s="19"/>
      <c r="B84" s="20">
        <f>DATE(2014,10,1)</f>
        <v>41913</v>
      </c>
      <c r="C84" s="21">
        <v>489378</v>
      </c>
      <c r="D84" s="21">
        <v>489334</v>
      </c>
      <c r="E84" s="23">
        <f>(+C84-D84)/D84</f>
        <v>8.991813362652094E-05</v>
      </c>
      <c r="F84" s="21">
        <f>C84-239568</f>
        <v>249810</v>
      </c>
      <c r="G84" s="21">
        <f>D84-235323</f>
        <v>254011</v>
      </c>
      <c r="H84" s="23">
        <f>(+F84-G84)/G84</f>
        <v>-0.01653865383782592</v>
      </c>
      <c r="I84" s="24">
        <f>K84/C84</f>
        <v>34.92766393258381</v>
      </c>
      <c r="J84" s="24">
        <f>K84/F84</f>
        <v>68.42332300548416</v>
      </c>
      <c r="K84" s="21">
        <v>17092830.32</v>
      </c>
      <c r="L84" s="21">
        <v>16816245.17</v>
      </c>
      <c r="M84" s="25">
        <f>(+K84-L84)/L84</f>
        <v>0.016447497476631906</v>
      </c>
      <c r="N84" s="10"/>
      <c r="R84" s="2"/>
    </row>
    <row r="85" spans="1:18" ht="15.75" customHeight="1">
      <c r="A85" s="19"/>
      <c r="B85" s="20">
        <f>DATE(2014,11,1)</f>
        <v>41944</v>
      </c>
      <c r="C85" s="21">
        <v>484217</v>
      </c>
      <c r="D85" s="22">
        <v>523143</v>
      </c>
      <c r="E85" s="23">
        <f>(+C85-D85)/D85</f>
        <v>-0.07440795346587835</v>
      </c>
      <c r="F85" s="21">
        <f>C85-233247</f>
        <v>250970</v>
      </c>
      <c r="G85" s="21">
        <f>D85-256054</f>
        <v>267089</v>
      </c>
      <c r="H85" s="23">
        <f>(+F85-G85)/G85</f>
        <v>-0.06035066962697827</v>
      </c>
      <c r="I85" s="24">
        <f>K85/C85</f>
        <v>35.7844912301716</v>
      </c>
      <c r="J85" s="24">
        <f>K85/F85</f>
        <v>69.04195318165517</v>
      </c>
      <c r="K85" s="21">
        <v>17327458.99</v>
      </c>
      <c r="L85" s="21">
        <v>18598301.39</v>
      </c>
      <c r="M85" s="25">
        <f>(+K85-L85)/L85</f>
        <v>-0.0683311004242201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SUM(C81:C86)</f>
        <v>2482233</v>
      </c>
      <c r="D87" s="41">
        <f>SUM(D81:D86)</f>
        <v>2526016</v>
      </c>
      <c r="E87" s="283">
        <f>(+C87-D87)/D87</f>
        <v>-0.017332827662215916</v>
      </c>
      <c r="F87" s="41">
        <f>SUM(F81:F86)</f>
        <v>1271332</v>
      </c>
      <c r="G87" s="41">
        <f>SUM(G81:G86)</f>
        <v>1296608</v>
      </c>
      <c r="H87" s="42">
        <f>(+F87-G87)/G87</f>
        <v>-0.019493941114045264</v>
      </c>
      <c r="I87" s="43">
        <f>K87/C87</f>
        <v>35.36260878410689</v>
      </c>
      <c r="J87" s="43">
        <f>K87/F87</f>
        <v>69.04430509890413</v>
      </c>
      <c r="K87" s="41">
        <f>SUM(K81:K86)</f>
        <v>87778234.49</v>
      </c>
      <c r="L87" s="41">
        <f>SUM(L81:L86)</f>
        <v>87110967.89999999</v>
      </c>
      <c r="M87" s="44">
        <f>(+K87-L87)/L87</f>
        <v>0.007659960692504297</v>
      </c>
      <c r="N87" s="10"/>
      <c r="R87" s="2"/>
    </row>
    <row r="88" spans="1:18" ht="15.75" customHeight="1" thickTop="1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>
      <c r="A89" s="19" t="s">
        <v>59</v>
      </c>
      <c r="B89" s="20">
        <f>DATE(2014,7,1)</f>
        <v>41821</v>
      </c>
      <c r="C89" s="21">
        <v>84999</v>
      </c>
      <c r="D89" s="21">
        <v>86946</v>
      </c>
      <c r="E89" s="23">
        <f>(+C89-D89)/D89</f>
        <v>-0.022393209578358983</v>
      </c>
      <c r="F89" s="21">
        <f>+C89-43157</f>
        <v>41842</v>
      </c>
      <c r="G89" s="21">
        <f>+D89-43787</f>
        <v>43159</v>
      </c>
      <c r="H89" s="23">
        <f>(+F89-G89)/G89</f>
        <v>-0.030515072174980885</v>
      </c>
      <c r="I89" s="24">
        <f>K89/C89</f>
        <v>35.69264038400452</v>
      </c>
      <c r="J89" s="24">
        <f>K89/F89</f>
        <v>72.5070202189188</v>
      </c>
      <c r="K89" s="21">
        <v>3033838.74</v>
      </c>
      <c r="L89" s="21">
        <v>2974457.52</v>
      </c>
      <c r="M89" s="25">
        <f>(+K89-L89)/L89</f>
        <v>0.019963714257381696</v>
      </c>
      <c r="N89" s="10"/>
      <c r="R89" s="2"/>
    </row>
    <row r="90" spans="1:18" ht="15" customHeight="1">
      <c r="A90" s="19"/>
      <c r="B90" s="20">
        <f>DATE(2014,8,1)</f>
        <v>41852</v>
      </c>
      <c r="C90" s="21">
        <v>89307</v>
      </c>
      <c r="D90" s="21">
        <v>89883</v>
      </c>
      <c r="E90" s="23">
        <f>(+C90-D90)/D90</f>
        <v>-0.006408330830079103</v>
      </c>
      <c r="F90" s="21">
        <f>+C90-44522</f>
        <v>44785</v>
      </c>
      <c r="G90" s="21">
        <f>+D90-45553</f>
        <v>44330</v>
      </c>
      <c r="H90" s="23">
        <f>(+F90-G90)/G90</f>
        <v>0.010263929618768328</v>
      </c>
      <c r="I90" s="24">
        <f>K90/C90</f>
        <v>36.395771104168766</v>
      </c>
      <c r="J90" s="24">
        <f>K90/F90</f>
        <v>72.577807971419</v>
      </c>
      <c r="K90" s="21">
        <v>3250397.13</v>
      </c>
      <c r="L90" s="21">
        <v>3038452.81</v>
      </c>
      <c r="M90" s="25">
        <f>(+K90-L90)/L90</f>
        <v>0.06975402721492319</v>
      </c>
      <c r="N90" s="10"/>
      <c r="R90" s="2"/>
    </row>
    <row r="91" spans="1:18" ht="15" customHeight="1">
      <c r="A91" s="19"/>
      <c r="B91" s="20">
        <f>DATE(2014,9,1)</f>
        <v>41883</v>
      </c>
      <c r="C91" s="21">
        <v>78430</v>
      </c>
      <c r="D91" s="21">
        <v>83616</v>
      </c>
      <c r="E91" s="23">
        <f>(+C91-D91)/D91</f>
        <v>-0.062021622655951014</v>
      </c>
      <c r="F91" s="21">
        <f>+C91-39135</f>
        <v>39295</v>
      </c>
      <c r="G91" s="21">
        <f>+D91-42083</f>
        <v>41533</v>
      </c>
      <c r="H91" s="23">
        <f>(+F91-G91)/G91</f>
        <v>-0.053884862639347025</v>
      </c>
      <c r="I91" s="24">
        <f>K91/C91</f>
        <v>34.8197608058141</v>
      </c>
      <c r="J91" s="24">
        <f>K91/F91</f>
        <v>69.4977437332994</v>
      </c>
      <c r="K91" s="21">
        <v>2730913.84</v>
      </c>
      <c r="L91" s="21">
        <v>2886948.81</v>
      </c>
      <c r="M91" s="25">
        <f>(+K91-L91)/L91</f>
        <v>-0.05404840205670297</v>
      </c>
      <c r="N91" s="10"/>
      <c r="R91" s="2"/>
    </row>
    <row r="92" spans="1:18" ht="15" customHeight="1">
      <c r="A92" s="19"/>
      <c r="B92" s="20">
        <f>DATE(2014,10,1)</f>
        <v>41913</v>
      </c>
      <c r="C92" s="21">
        <v>82199</v>
      </c>
      <c r="D92" s="21">
        <v>80385</v>
      </c>
      <c r="E92" s="23">
        <f>(+C92-D92)/D92</f>
        <v>0.02256639920383156</v>
      </c>
      <c r="F92" s="21">
        <f>C92-41678</f>
        <v>40521</v>
      </c>
      <c r="G92" s="21">
        <f>D92-41448</f>
        <v>38937</v>
      </c>
      <c r="H92" s="23">
        <f>(+F92-G92)/G92</f>
        <v>0.04068110023884737</v>
      </c>
      <c r="I92" s="24">
        <f>K92/C92</f>
        <v>36.2879974208932</v>
      </c>
      <c r="J92" s="24">
        <f>K92/F92</f>
        <v>73.61212951309199</v>
      </c>
      <c r="K92" s="21">
        <v>2982837.1</v>
      </c>
      <c r="L92" s="21">
        <v>2900206.87</v>
      </c>
      <c r="M92" s="25">
        <f>(+K92-L92)/L92</f>
        <v>0.028491150357146756</v>
      </c>
      <c r="N92" s="10"/>
      <c r="R92" s="2"/>
    </row>
    <row r="93" spans="1:18" ht="15" customHeight="1">
      <c r="A93" s="19"/>
      <c r="B93" s="20">
        <f>DATE(2014,11,1)</f>
        <v>41944</v>
      </c>
      <c r="C93" s="21">
        <v>78781</v>
      </c>
      <c r="D93" s="22">
        <v>85054</v>
      </c>
      <c r="E93" s="23">
        <f>(+C93-D93)/D93</f>
        <v>-0.07375314506078491</v>
      </c>
      <c r="F93" s="21">
        <f>C93-39817</f>
        <v>38964</v>
      </c>
      <c r="G93" s="21">
        <f>D93-44715</f>
        <v>40339</v>
      </c>
      <c r="H93" s="23">
        <f>(+F93-G93)/G93</f>
        <v>-0.034086120131882294</v>
      </c>
      <c r="I93" s="24">
        <f>K93/C93</f>
        <v>35.60678221906297</v>
      </c>
      <c r="J93" s="24">
        <f>K93/F93</f>
        <v>71.99306821681553</v>
      </c>
      <c r="K93" s="21">
        <v>2805137.91</v>
      </c>
      <c r="L93" s="21">
        <v>3171879.87</v>
      </c>
      <c r="M93" s="25">
        <f>(+K93-L93)/L93</f>
        <v>-0.11562290346134703</v>
      </c>
      <c r="N93" s="10"/>
      <c r="R93" s="2"/>
    </row>
    <row r="94" spans="1:18" ht="15.75" thickBot="1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Bot="1" thickTop="1">
      <c r="A95" s="62" t="s">
        <v>14</v>
      </c>
      <c r="B95" s="52"/>
      <c r="C95" s="48">
        <f>SUM(C89:C94)</f>
        <v>413716</v>
      </c>
      <c r="D95" s="48">
        <f>SUM(D89:D94)</f>
        <v>425884</v>
      </c>
      <c r="E95" s="283">
        <f>(+C95-D95)/D95</f>
        <v>-0.02857116022203229</v>
      </c>
      <c r="F95" s="48">
        <f>SUM(F89:F94)</f>
        <v>205407</v>
      </c>
      <c r="G95" s="48">
        <f>SUM(G89:G94)</f>
        <v>208298</v>
      </c>
      <c r="H95" s="42">
        <f>(+F95-G95)/G95</f>
        <v>-0.013879153904502204</v>
      </c>
      <c r="I95" s="50">
        <f>K95/C95</f>
        <v>35.780885244950646</v>
      </c>
      <c r="J95" s="50">
        <f>K95/F95</f>
        <v>72.06728456186985</v>
      </c>
      <c r="K95" s="48">
        <f>SUM(K89:K94)</f>
        <v>14803124.72</v>
      </c>
      <c r="L95" s="48">
        <f>SUM(L89:L94)</f>
        <v>14971945.880000003</v>
      </c>
      <c r="M95" s="44">
        <f>(+K95-L95)/L95</f>
        <v>-0.011275832904627223</v>
      </c>
      <c r="N95" s="10"/>
      <c r="R95" s="2"/>
    </row>
    <row r="96" spans="1:18" ht="15.75" customHeight="1" thickTop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>
      <c r="A97" s="19" t="s">
        <v>19</v>
      </c>
      <c r="B97" s="20">
        <f>DATE(2014,7,1)</f>
        <v>41821</v>
      </c>
      <c r="C97" s="21">
        <v>567277</v>
      </c>
      <c r="D97" s="21">
        <v>557354</v>
      </c>
      <c r="E97" s="23">
        <f>(+C97-D97)/D97</f>
        <v>0.017803765649838342</v>
      </c>
      <c r="F97" s="21">
        <f>+C97-297396</f>
        <v>269881</v>
      </c>
      <c r="G97" s="21">
        <f>+D97-286430</f>
        <v>270924</v>
      </c>
      <c r="H97" s="23">
        <f>(+F97-G97)/G97</f>
        <v>-0.003849788132465193</v>
      </c>
      <c r="I97" s="24">
        <f>K97/C97</f>
        <v>39.86158479896065</v>
      </c>
      <c r="J97" s="24">
        <f>K97/F97</f>
        <v>83.78715152233762</v>
      </c>
      <c r="K97" s="21">
        <v>22612560.24</v>
      </c>
      <c r="L97" s="21">
        <v>21465065.69</v>
      </c>
      <c r="M97" s="25">
        <f>(+K97-L97)/L97</f>
        <v>0.053458701993844074</v>
      </c>
      <c r="N97" s="10"/>
      <c r="R97" s="2"/>
    </row>
    <row r="98" spans="1:18" ht="15.75">
      <c r="A98" s="19"/>
      <c r="B98" s="20">
        <f>DATE(2014,8,1)</f>
        <v>41852</v>
      </c>
      <c r="C98" s="21">
        <v>609221</v>
      </c>
      <c r="D98" s="21">
        <v>558243</v>
      </c>
      <c r="E98" s="23">
        <f>(+C98-D98)/D98</f>
        <v>0.09131865513763719</v>
      </c>
      <c r="F98" s="21">
        <f>+C98-314633</f>
        <v>294588</v>
      </c>
      <c r="G98" s="21">
        <f>+D98-286154</f>
        <v>272089</v>
      </c>
      <c r="H98" s="23">
        <f>(+F98-G98)/G98</f>
        <v>0.08268985515768737</v>
      </c>
      <c r="I98" s="24">
        <f>K98/C98</f>
        <v>38.97899123634937</v>
      </c>
      <c r="J98" s="24">
        <f>K98/F98</f>
        <v>80.6102761144378</v>
      </c>
      <c r="K98" s="21">
        <v>23746820.02</v>
      </c>
      <c r="L98" s="21">
        <v>22258767.71</v>
      </c>
      <c r="M98" s="25">
        <f>(+K98-L98)/L98</f>
        <v>0.06685241201971277</v>
      </c>
      <c r="N98" s="10"/>
      <c r="R98" s="2"/>
    </row>
    <row r="99" spans="1:18" ht="15.75">
      <c r="A99" s="19"/>
      <c r="B99" s="20">
        <f>DATE(2014,9,1)</f>
        <v>41883</v>
      </c>
      <c r="C99" s="21">
        <v>511921</v>
      </c>
      <c r="D99" s="21">
        <v>517441</v>
      </c>
      <c r="E99" s="23">
        <f>(+C99-D99)/D99</f>
        <v>-0.010667882908389556</v>
      </c>
      <c r="F99" s="21">
        <f>+C99-263857</f>
        <v>248064</v>
      </c>
      <c r="G99" s="21">
        <f>+D99-263971</f>
        <v>253470</v>
      </c>
      <c r="H99" s="23">
        <f>(+F99-G99)/G99</f>
        <v>-0.021327967806841045</v>
      </c>
      <c r="I99" s="24">
        <f>K99/C99</f>
        <v>39.42456984573791</v>
      </c>
      <c r="J99" s="24">
        <f>K99/F99</f>
        <v>81.35910579527864</v>
      </c>
      <c r="K99" s="21">
        <v>20182265.22</v>
      </c>
      <c r="L99" s="21">
        <v>20216772.92</v>
      </c>
      <c r="M99" s="25">
        <f>(+K99-L99)/L99</f>
        <v>-0.0017068846811780372</v>
      </c>
      <c r="N99" s="10"/>
      <c r="R99" s="2"/>
    </row>
    <row r="100" spans="1:18" ht="15.75">
      <c r="A100" s="19"/>
      <c r="B100" s="20">
        <f>DATE(2014,10,1)</f>
        <v>41913</v>
      </c>
      <c r="C100" s="21">
        <v>541325</v>
      </c>
      <c r="D100" s="21">
        <v>507912</v>
      </c>
      <c r="E100" s="23">
        <f>(+C100-D100)/D100</f>
        <v>0.06578501787711256</v>
      </c>
      <c r="F100" s="21">
        <f>C100-282682</f>
        <v>258643</v>
      </c>
      <c r="G100" s="21">
        <f>D100-260802</f>
        <v>247110</v>
      </c>
      <c r="H100" s="23">
        <f>(+F100-G100)/G100</f>
        <v>0.04667152280360973</v>
      </c>
      <c r="I100" s="24">
        <f>K100/C100</f>
        <v>39.28028406225465</v>
      </c>
      <c r="J100" s="24">
        <f>K100/F100</f>
        <v>82.21138700834742</v>
      </c>
      <c r="K100" s="21">
        <v>21263399.77</v>
      </c>
      <c r="L100" s="21">
        <v>20213106.43</v>
      </c>
      <c r="M100" s="25">
        <f>(+K100-L100)/L100</f>
        <v>0.051961005777972344</v>
      </c>
      <c r="N100" s="10"/>
      <c r="R100" s="2"/>
    </row>
    <row r="101" spans="1:18" ht="15.75">
      <c r="A101" s="19"/>
      <c r="B101" s="20">
        <f>DATE(2014,11,1)</f>
        <v>41944</v>
      </c>
      <c r="C101" s="21">
        <v>521626</v>
      </c>
      <c r="D101" s="22">
        <v>546393</v>
      </c>
      <c r="E101" s="23">
        <f>(+C101-D101)/D101</f>
        <v>-0.0453281795337788</v>
      </c>
      <c r="F101" s="21">
        <f>C101-265041</f>
        <v>256585</v>
      </c>
      <c r="G101" s="21">
        <f>D101-280915</f>
        <v>265478</v>
      </c>
      <c r="H101" s="23">
        <f>(+F101-G101)/G101</f>
        <v>-0.03349806763648965</v>
      </c>
      <c r="I101" s="24">
        <f>K101/C101</f>
        <v>40.92802925851089</v>
      </c>
      <c r="J101" s="24">
        <f>K101/F101</f>
        <v>83.20488021513339</v>
      </c>
      <c r="K101" s="21">
        <v>21349124.19</v>
      </c>
      <c r="L101" s="21">
        <v>21593950.93</v>
      </c>
      <c r="M101" s="25">
        <f>(+K101-L101)/L101</f>
        <v>-0.011337746426934126</v>
      </c>
      <c r="N101" s="10"/>
      <c r="R101" s="2"/>
    </row>
    <row r="102" spans="1:18" ht="15.75" thickBot="1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SUM(C97:C102)</f>
        <v>2751370</v>
      </c>
      <c r="D103" s="41">
        <f>SUM(D97:D102)</f>
        <v>2687343</v>
      </c>
      <c r="E103" s="283">
        <f>(+C103-D103)/D103</f>
        <v>0.023825391846146918</v>
      </c>
      <c r="F103" s="41">
        <f>SUM(F97:F102)</f>
        <v>1327761</v>
      </c>
      <c r="G103" s="41">
        <f>SUM(G97:G102)</f>
        <v>1309071</v>
      </c>
      <c r="H103" s="42">
        <f>(+F103-G103)/G103</f>
        <v>0.01427730046727794</v>
      </c>
      <c r="I103" s="43">
        <f>K103/C103</f>
        <v>39.67266105249385</v>
      </c>
      <c r="J103" s="43">
        <f>K103/F103</f>
        <v>82.2091998785926</v>
      </c>
      <c r="K103" s="41">
        <f>SUM(K97:K102)</f>
        <v>109154169.44</v>
      </c>
      <c r="L103" s="41">
        <f>SUM(L97:L102)</f>
        <v>105747663.68</v>
      </c>
      <c r="M103" s="44">
        <f>(+K103-L103)/L103</f>
        <v>0.03221353211460369</v>
      </c>
      <c r="N103" s="10"/>
      <c r="R103" s="2"/>
    </row>
    <row r="104" spans="1:18" ht="15.75" customHeight="1" thickTop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>
      <c r="A105" s="19" t="s">
        <v>63</v>
      </c>
      <c r="B105" s="20">
        <f>DATE(2014,7,1)</f>
        <v>41821</v>
      </c>
      <c r="C105" s="21">
        <v>102496</v>
      </c>
      <c r="D105" s="21">
        <v>97183</v>
      </c>
      <c r="E105" s="23">
        <f>(+C105-D105)/D105</f>
        <v>0.054670055462375106</v>
      </c>
      <c r="F105" s="21">
        <f>+C105-50077</f>
        <v>52419</v>
      </c>
      <c r="G105" s="21">
        <f>+D105-48052</f>
        <v>49131</v>
      </c>
      <c r="H105" s="23">
        <f>(+F105-G105)/G105</f>
        <v>0.06692312389326495</v>
      </c>
      <c r="I105" s="24">
        <f>K105/C105</f>
        <v>32.590748321885734</v>
      </c>
      <c r="J105" s="24">
        <f>K105/F105</f>
        <v>63.72539231957877</v>
      </c>
      <c r="K105" s="21">
        <v>3340421.34</v>
      </c>
      <c r="L105" s="21">
        <v>3033658.45</v>
      </c>
      <c r="M105" s="25">
        <f>(+K105-L105)/L105</f>
        <v>0.10111978492502992</v>
      </c>
      <c r="N105" s="10"/>
      <c r="R105" s="2"/>
    </row>
    <row r="106" spans="1:18" ht="15.75">
      <c r="A106" s="19"/>
      <c r="B106" s="20">
        <f>DATE(2014,8,1)</f>
        <v>41852</v>
      </c>
      <c r="C106" s="21">
        <v>103432</v>
      </c>
      <c r="D106" s="21">
        <v>99168</v>
      </c>
      <c r="E106" s="23">
        <f>(+C106-D106)/D106</f>
        <v>0.04299774120684092</v>
      </c>
      <c r="F106" s="21">
        <f>+C106-51483</f>
        <v>51949</v>
      </c>
      <c r="G106" s="21">
        <f>+D106-49688</f>
        <v>49480</v>
      </c>
      <c r="H106" s="23">
        <f>(+F106-G106)/G106</f>
        <v>0.04989894907033145</v>
      </c>
      <c r="I106" s="24">
        <f>K106/C106</f>
        <v>33.31466528733854</v>
      </c>
      <c r="J106" s="24">
        <f>K106/F106</f>
        <v>66.33048682361547</v>
      </c>
      <c r="K106" s="21">
        <v>3445802.46</v>
      </c>
      <c r="L106" s="21">
        <v>3160851.05</v>
      </c>
      <c r="M106" s="25">
        <f>(+K106-L106)/L106</f>
        <v>0.0901502176130698</v>
      </c>
      <c r="N106" s="10"/>
      <c r="R106" s="2"/>
    </row>
    <row r="107" spans="1:18" ht="15.75">
      <c r="A107" s="19"/>
      <c r="B107" s="20">
        <f>DATE(2014,9,1)</f>
        <v>41883</v>
      </c>
      <c r="C107" s="21">
        <v>97371</v>
      </c>
      <c r="D107" s="21">
        <v>92299</v>
      </c>
      <c r="E107" s="23">
        <f>(+C107-D107)/D107</f>
        <v>0.05495184129838893</v>
      </c>
      <c r="F107" s="21">
        <f>+C107-46879</f>
        <v>50492</v>
      </c>
      <c r="G107" s="21">
        <f>+D107-46130</f>
        <v>46169</v>
      </c>
      <c r="H107" s="23">
        <f>(+F107-G107)/G107</f>
        <v>0.09363425675236631</v>
      </c>
      <c r="I107" s="24">
        <f>K107/C107</f>
        <v>31.609307494017724</v>
      </c>
      <c r="J107" s="24">
        <f>K107/F107</f>
        <v>60.95678285669017</v>
      </c>
      <c r="K107" s="21">
        <v>3077829.88</v>
      </c>
      <c r="L107" s="21">
        <v>2993803.06</v>
      </c>
      <c r="M107" s="25">
        <f>(+K107-L107)/L107</f>
        <v>0.02806691633216509</v>
      </c>
      <c r="N107" s="10"/>
      <c r="R107" s="2"/>
    </row>
    <row r="108" spans="1:18" ht="15.75">
      <c r="A108" s="19"/>
      <c r="B108" s="20">
        <f>DATE(2014,10,1)</f>
        <v>41913</v>
      </c>
      <c r="C108" s="21">
        <v>97775</v>
      </c>
      <c r="D108" s="21">
        <v>93567</v>
      </c>
      <c r="E108" s="23">
        <f>(+C108-D108)/D108</f>
        <v>0.044973120865262325</v>
      </c>
      <c r="F108" s="21">
        <f>C108-48511</f>
        <v>49264</v>
      </c>
      <c r="G108" s="21">
        <f>D108-45748</f>
        <v>47819</v>
      </c>
      <c r="H108" s="23">
        <f>(+F108-G108)/G108</f>
        <v>0.030218114138731468</v>
      </c>
      <c r="I108" s="24">
        <f>K108/C108</f>
        <v>31.781869394016873</v>
      </c>
      <c r="J108" s="24">
        <f>K108/F108</f>
        <v>63.0779530691783</v>
      </c>
      <c r="K108" s="21">
        <v>3107472.28</v>
      </c>
      <c r="L108" s="21">
        <v>3096973.24</v>
      </c>
      <c r="M108" s="25">
        <f>(+K108-L108)/L108</f>
        <v>0.0033900971000962125</v>
      </c>
      <c r="N108" s="10"/>
      <c r="R108" s="2"/>
    </row>
    <row r="109" spans="1:18" ht="15.75">
      <c r="A109" s="19"/>
      <c r="B109" s="20">
        <f>DATE(2014,11,1)</f>
        <v>41944</v>
      </c>
      <c r="C109" s="21">
        <v>92234</v>
      </c>
      <c r="D109" s="22">
        <v>92984</v>
      </c>
      <c r="E109" s="23">
        <f>(+C109-D109)/D109</f>
        <v>-0.008065903811408414</v>
      </c>
      <c r="F109" s="21">
        <f>C109-46503</f>
        <v>45731</v>
      </c>
      <c r="G109" s="21">
        <f>D109-46573</f>
        <v>46411</v>
      </c>
      <c r="H109" s="23">
        <f>(+F109-G109)/G109</f>
        <v>-0.014651698950679796</v>
      </c>
      <c r="I109" s="24">
        <f>K109/C109</f>
        <v>32.76966986143938</v>
      </c>
      <c r="J109" s="24">
        <f>K109/F109</f>
        <v>66.09253526054536</v>
      </c>
      <c r="K109" s="21">
        <v>3022477.73</v>
      </c>
      <c r="L109" s="21">
        <v>2930934.78</v>
      </c>
      <c r="M109" s="25">
        <f>(+K109-L109)/L109</f>
        <v>0.031233363029661204</v>
      </c>
      <c r="N109" s="10"/>
      <c r="R109" s="2"/>
    </row>
    <row r="110" spans="1:18" ht="15.75" thickBot="1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26" t="s">
        <v>14</v>
      </c>
      <c r="B111" s="27"/>
      <c r="C111" s="28">
        <f>SUM(C105:C110)</f>
        <v>493308</v>
      </c>
      <c r="D111" s="28">
        <f>SUM(D105:D110)</f>
        <v>475201</v>
      </c>
      <c r="E111" s="283">
        <f>(+C111-D111)/D111</f>
        <v>0.03810387604403189</v>
      </c>
      <c r="F111" s="28">
        <f>SUM(F105:F110)</f>
        <v>249855</v>
      </c>
      <c r="G111" s="28">
        <f>SUM(G105:G110)</f>
        <v>239010</v>
      </c>
      <c r="H111" s="42">
        <f>(+F111-G111)/G111</f>
        <v>0.045374670515878</v>
      </c>
      <c r="I111" s="43">
        <f>K111/C111</f>
        <v>32.42194266056906</v>
      </c>
      <c r="J111" s="43">
        <f>K111/F111</f>
        <v>64.01314238258189</v>
      </c>
      <c r="K111" s="28">
        <f>SUM(K105:K110)</f>
        <v>15994003.69</v>
      </c>
      <c r="L111" s="28">
        <f>SUM(L105:L110)</f>
        <v>15216220.58</v>
      </c>
      <c r="M111" s="44">
        <f>(+K111-L111)/L111</f>
        <v>0.051115393990956416</v>
      </c>
      <c r="N111" s="10"/>
      <c r="R111" s="2"/>
    </row>
    <row r="112" spans="1:18" ht="16.5" thickBot="1" thickTop="1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Bot="1" thickTop="1">
      <c r="A113" s="64" t="s">
        <v>20</v>
      </c>
      <c r="B113" s="65"/>
      <c r="C113" s="28">
        <f>C111+C103+C47+C63+C71+C31+C15+C79+C87+C39+C95+C23+C55</f>
        <v>18267513</v>
      </c>
      <c r="D113" s="28">
        <f>D111+D103+D47+D63+D71+D31+D15+D79+D87+D39+D95+D23+D55</f>
        <v>19051014</v>
      </c>
      <c r="E113" s="282">
        <f>(+C113-D113)/D113</f>
        <v>-0.041126472323205474</v>
      </c>
      <c r="F113" s="28">
        <f>F111+F103+F47+F63+F71+F31+F15+F79+F87+F39+F95+F23+F55</f>
        <v>9220240</v>
      </c>
      <c r="G113" s="28">
        <f>G111+G103+G47+G63+G71+G31+G15+G79+G87+G39+G95+G23+G55</f>
        <v>9474162</v>
      </c>
      <c r="H113" s="30">
        <f>(+F113-G113)/G113</f>
        <v>-0.026801526087478766</v>
      </c>
      <c r="I113" s="31">
        <f>K113/C113</f>
        <v>37.70088925898123</v>
      </c>
      <c r="J113" s="31">
        <f>K113/F113</f>
        <v>74.6945290632348</v>
      </c>
      <c r="K113" s="28">
        <f>K111+K103+K47+K63+K71+K31+K15+K79+K87+K39+K95+K23+K55</f>
        <v>688701484.65</v>
      </c>
      <c r="L113" s="28">
        <f>L111+L103+L47+L63+L71+L31+L15+L79+L87+L39+L95+L23+L55</f>
        <v>696104649.3299999</v>
      </c>
      <c r="M113" s="32">
        <f>(+K113-L113)/L113</f>
        <v>-0.010635131782448928</v>
      </c>
      <c r="N113" s="10"/>
      <c r="R113" s="2"/>
    </row>
    <row r="114" spans="1:18" ht="17.25" thickBot="1" thickTop="1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Bot="1" thickTop="1">
      <c r="A115" s="64" t="s">
        <v>21</v>
      </c>
      <c r="B115" s="65"/>
      <c r="C115" s="28">
        <f>+C13+C21+C29+C37+C45+C53+C61+C69+C77+C85+C93+C101+C109</f>
        <v>3492146</v>
      </c>
      <c r="D115" s="28">
        <f>+D13+D21+D29+D37+D45+D53+D61+D69+D77+D85+D93+D101+D109</f>
        <v>3748635</v>
      </c>
      <c r="E115" s="282">
        <f>(+C115-D115)/D115</f>
        <v>-0.06842197226457097</v>
      </c>
      <c r="F115" s="28">
        <f>+F13+F21+F29+F37+F45+F53+F61+F69+F77+F85+F93+F101+F109</f>
        <v>1766618</v>
      </c>
      <c r="G115" s="28">
        <f>+G13+G21+G29+G37+G45+G53+G61+G69+G77+G85+G93+G101+G109</f>
        <v>1835121</v>
      </c>
      <c r="H115" s="30">
        <f>(+F115-G115)/G115</f>
        <v>-0.037328873681898904</v>
      </c>
      <c r="I115" s="31">
        <f>K115/C115</f>
        <v>38.111887747534034</v>
      </c>
      <c r="J115" s="31">
        <f>K115/F115</f>
        <v>75.33732609426599</v>
      </c>
      <c r="K115" s="28">
        <f>+K13+K21+K29+K37+K45+K53+K61+K69+K77+K85+K93+K101+K109</f>
        <v>133092276.35</v>
      </c>
      <c r="L115" s="28">
        <f>+L13+L21+L29+L37+L45+L53+L61+L69+L77+L85+L93+L101+L109</f>
        <v>138674146.35999998</v>
      </c>
      <c r="M115" s="44">
        <f>(+K115-L115)/L115</f>
        <v>-0.04025169908390407</v>
      </c>
      <c r="N115" s="10"/>
      <c r="R115" s="2"/>
    </row>
    <row r="116" spans="1:18" ht="15.75" thickTop="1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5.75">
      <c r="A117" s="256" t="s">
        <v>70</v>
      </c>
      <c r="B117" s="258"/>
      <c r="C117" s="259"/>
      <c r="D117" s="259"/>
      <c r="E117" s="259"/>
      <c r="F117" s="260"/>
      <c r="G117" s="257"/>
      <c r="H117" s="257"/>
      <c r="I117" s="261"/>
      <c r="J117" s="261"/>
      <c r="K117" s="262"/>
      <c r="L117" s="262"/>
      <c r="M117" s="261"/>
      <c r="R117" s="2"/>
    </row>
    <row r="118" spans="1:18" ht="18.75">
      <c r="A118" s="266" t="s">
        <v>22</v>
      </c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8">
      <c r="A119" s="69"/>
      <c r="B119" s="70"/>
      <c r="C119" s="71"/>
      <c r="D119" s="71"/>
      <c r="E119" s="71"/>
      <c r="F119" s="71"/>
      <c r="G119" s="71"/>
      <c r="H119" s="71"/>
      <c r="I119" s="71"/>
      <c r="J119" s="71"/>
      <c r="K119" s="198"/>
      <c r="L119" s="198"/>
      <c r="M119" s="71"/>
      <c r="N119" s="2"/>
      <c r="O119" s="2"/>
      <c r="P119" s="2"/>
      <c r="Q119" s="2"/>
      <c r="R119" s="2"/>
    </row>
    <row r="120" spans="1:18" ht="15.75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ht="15">
      <c r="A130" s="2"/>
      <c r="B130" s="73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">
      <c r="A131" s="2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4"/>
      <c r="N131" s="2"/>
      <c r="O131" s="2"/>
      <c r="P131" s="2"/>
      <c r="Q131" s="2"/>
      <c r="R131" s="2"/>
    </row>
    <row r="132" spans="1:18" ht="15.7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.75">
      <c r="A134" s="76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70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>
      <c r="A136" s="76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.75">
      <c r="A154" s="76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.75">
      <c r="A167" s="76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.75">
      <c r="A170" s="76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.75">
      <c r="A176" s="76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>
      <c r="A179" s="76"/>
      <c r="B179" s="76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</sheetData>
  <sheetProtection/>
  <printOptions horizontalCentered="1"/>
  <pageMargins left="0.7" right="0.25" top="0.319444444444444" bottom="0.2" header="0.5" footer="0.25"/>
  <pageSetup horizontalDpi="600" verticalDpi="600" orientation="landscape" scale="64" r:id="rId1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5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8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9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DATE(2014,7,1)</f>
        <v>41821</v>
      </c>
      <c r="B10" s="89">
        <f>'MONTHLY STATS'!$C$9*2</f>
        <v>534328</v>
      </c>
      <c r="C10" s="89">
        <f>'MONTHLY STATS'!$C$17*2</f>
        <v>348074</v>
      </c>
      <c r="D10" s="89">
        <f>'MONTHLY STATS'!$C$25*2</f>
        <v>144802</v>
      </c>
      <c r="E10" s="89">
        <f>'MONTHLY STATS'!$C$33*2</f>
        <v>843258</v>
      </c>
      <c r="F10" s="89">
        <f>'MONTHLY STATS'!$C$41*2</f>
        <v>638396</v>
      </c>
      <c r="G10" s="89">
        <f>'MONTHLY STATS'!$C$49*2</f>
        <v>339030</v>
      </c>
      <c r="H10" s="89">
        <f>'MONTHLY STATS'!$C$57*2</f>
        <v>475068</v>
      </c>
      <c r="I10" s="89">
        <f>'MONTHLY STATS'!$C$65*2</f>
        <v>763554</v>
      </c>
      <c r="J10" s="89">
        <f>'MONTHLY STATS'!$C$73*2</f>
        <v>1026776</v>
      </c>
      <c r="K10" s="89">
        <f>'MONTHLY STATS'!$C$81*2</f>
        <v>996478</v>
      </c>
      <c r="L10" s="89">
        <f>'MONTHLY STATS'!$C$89*2</f>
        <v>169998</v>
      </c>
      <c r="M10" s="89">
        <f>'MONTHLY STATS'!$C$97*2</f>
        <v>1134554</v>
      </c>
      <c r="N10" s="89">
        <f>'MONTHLY STATS'!$C$105*2</f>
        <v>204992</v>
      </c>
      <c r="O10" s="90">
        <f>SUM(B10:N10)</f>
        <v>7619308</v>
      </c>
      <c r="P10" s="83"/>
    </row>
    <row r="11" spans="1:16" ht="15.75">
      <c r="A11" s="88">
        <f>DATE(2014,8,1)</f>
        <v>41852</v>
      </c>
      <c r="B11" s="89">
        <f>'MONTHLY STATS'!$C$10*2</f>
        <v>555330</v>
      </c>
      <c r="C11" s="89">
        <f>'MONTHLY STATS'!$C$18*2</f>
        <v>360948</v>
      </c>
      <c r="D11" s="89">
        <f>'MONTHLY STATS'!$C$26*2</f>
        <v>156554</v>
      </c>
      <c r="E11" s="89">
        <f>'MONTHLY STATS'!$C$34*2</f>
        <v>844738</v>
      </c>
      <c r="F11" s="89">
        <f>'MONTHLY STATS'!$C$42*2</f>
        <v>688408</v>
      </c>
      <c r="G11" s="89">
        <f>'MONTHLY STATS'!$C$50*2</f>
        <v>362646</v>
      </c>
      <c r="H11" s="89">
        <f>'MONTHLY STATS'!$C$58*2</f>
        <v>459542</v>
      </c>
      <c r="I11" s="89">
        <f>'MONTHLY STATS'!$C$66*2</f>
        <v>797174</v>
      </c>
      <c r="J11" s="89">
        <f>'MONTHLY STATS'!$C$74*2</f>
        <v>1007692</v>
      </c>
      <c r="K11" s="89">
        <f>'MONTHLY STATS'!$C$82*2</f>
        <v>1096544</v>
      </c>
      <c r="L11" s="89">
        <f>'MONTHLY STATS'!$C$90*2</f>
        <v>178614</v>
      </c>
      <c r="M11" s="89">
        <f>'MONTHLY STATS'!$C$98*2</f>
        <v>1218442</v>
      </c>
      <c r="N11" s="89">
        <f>'MONTHLY STATS'!$C$106*2</f>
        <v>206864</v>
      </c>
      <c r="O11" s="90">
        <f>SUM(B11:N11)</f>
        <v>7933496</v>
      </c>
      <c r="P11" s="83"/>
    </row>
    <row r="12" spans="1:16" ht="15.75">
      <c r="A12" s="88">
        <f>DATE(2014,9,1)</f>
        <v>41883</v>
      </c>
      <c r="B12" s="89">
        <f>'MONTHLY STATS'!$C$11*2</f>
        <v>496316</v>
      </c>
      <c r="C12" s="89">
        <f>'MONTHLY STATS'!$C$19*2</f>
        <v>318052</v>
      </c>
      <c r="D12" s="89">
        <f>'MONTHLY STATS'!$C$27*2</f>
        <v>127556</v>
      </c>
      <c r="E12" s="89">
        <f>'MONTHLY STATS'!$C$35*2</f>
        <v>752534</v>
      </c>
      <c r="F12" s="89">
        <f>'MONTHLY STATS'!$C$43*2</f>
        <v>627684</v>
      </c>
      <c r="G12" s="89">
        <f>'MONTHLY STATS'!$C$51*2</f>
        <v>300276</v>
      </c>
      <c r="H12" s="89">
        <f>'MONTHLY STATS'!$C$59*2</f>
        <v>408646</v>
      </c>
      <c r="I12" s="89">
        <f>'MONTHLY STATS'!$C$67*2</f>
        <v>698838</v>
      </c>
      <c r="J12" s="89">
        <f>'MONTHLY STATS'!$C$75*2</f>
        <v>847766</v>
      </c>
      <c r="K12" s="89">
        <f>'MONTHLY STATS'!$C$83*2</f>
        <v>924254</v>
      </c>
      <c r="L12" s="89">
        <f>'MONTHLY STATS'!$C$91*2</f>
        <v>156860</v>
      </c>
      <c r="M12" s="89">
        <f>'MONTHLY STATS'!$C$99*2</f>
        <v>1023842</v>
      </c>
      <c r="N12" s="89">
        <f>'MONTHLY STATS'!$C$107*2</f>
        <v>194742</v>
      </c>
      <c r="O12" s="90">
        <f>SUM(B12:N12)</f>
        <v>6877366</v>
      </c>
      <c r="P12" s="83"/>
    </row>
    <row r="13" spans="1:16" ht="15.75">
      <c r="A13" s="88">
        <f>DATE(2014,10,1)</f>
        <v>41913</v>
      </c>
      <c r="B13" s="89">
        <f>'MONTHLY STATS'!$C$12*2</f>
        <v>532130</v>
      </c>
      <c r="C13" s="89">
        <f>'MONTHLY STATS'!$C$20*2</f>
        <v>322048</v>
      </c>
      <c r="D13" s="89">
        <f>'MONTHLY STATS'!$C$28*2</f>
        <v>136240</v>
      </c>
      <c r="E13" s="89">
        <f>'MONTHLY STATS'!$C$36*2</f>
        <v>797554</v>
      </c>
      <c r="F13" s="89">
        <f>'MONTHLY STATS'!$C$44*2</f>
        <v>627552</v>
      </c>
      <c r="G13" s="89">
        <f>'MONTHLY STATS'!$C$52*2</f>
        <v>321400</v>
      </c>
      <c r="H13" s="89">
        <f>'MONTHLY STATS'!$C$60*2</f>
        <v>421524</v>
      </c>
      <c r="I13" s="89">
        <f>'MONTHLY STATS'!$C$68*2</f>
        <v>693660</v>
      </c>
      <c r="J13" s="89">
        <f>'MONTHLY STATS'!$C$76*2</f>
        <v>847102</v>
      </c>
      <c r="K13" s="89">
        <f>'MONTHLY STATS'!$C$84*2</f>
        <v>978756</v>
      </c>
      <c r="L13" s="89">
        <f>'MONTHLY STATS'!$C$92*2</f>
        <v>164398</v>
      </c>
      <c r="M13" s="89">
        <f>'MONTHLY STATS'!$C$100*2</f>
        <v>1082650</v>
      </c>
      <c r="N13" s="89">
        <f>'MONTHLY STATS'!$C$108*2</f>
        <v>195550</v>
      </c>
      <c r="O13" s="90">
        <f>SUM(B13:N13)</f>
        <v>7120564</v>
      </c>
      <c r="P13" s="83"/>
    </row>
    <row r="14" spans="1:16" ht="15.75">
      <c r="A14" s="88">
        <f>DATE(2014,11,1)</f>
        <v>41944</v>
      </c>
      <c r="B14" s="89">
        <f>'MONTHLY STATS'!$C$13*2</f>
        <v>539048</v>
      </c>
      <c r="C14" s="89">
        <f>'MONTHLY STATS'!$C$21*2</f>
        <v>307988</v>
      </c>
      <c r="D14" s="89">
        <f>'MONTHLY STATS'!$C$29*2</f>
        <v>141766</v>
      </c>
      <c r="E14" s="89">
        <f>'MONTHLY STATS'!$C$37*2</f>
        <v>789286</v>
      </c>
      <c r="F14" s="89">
        <f>'MONTHLY STATS'!$C$45*2</f>
        <v>630346</v>
      </c>
      <c r="G14" s="89">
        <f>'MONTHLY STATS'!$C$53*2</f>
        <v>317564</v>
      </c>
      <c r="H14" s="89">
        <f>'MONTHLY STATS'!$C$61*2</f>
        <v>403380</v>
      </c>
      <c r="I14" s="89">
        <f>'MONTHLY STATS'!$C$69*2</f>
        <v>637300</v>
      </c>
      <c r="J14" s="89">
        <f>'MONTHLY STATS'!$C$77*2</f>
        <v>863898</v>
      </c>
      <c r="K14" s="89">
        <f>'MONTHLY STATS'!$C$85*2</f>
        <v>968434</v>
      </c>
      <c r="L14" s="89">
        <f>'MONTHLY STATS'!$C$93*2</f>
        <v>157562</v>
      </c>
      <c r="M14" s="89">
        <f>'MONTHLY STATS'!$C$101*2</f>
        <v>1043252</v>
      </c>
      <c r="N14" s="89">
        <f>'MONTHLY STATS'!$C$109*2</f>
        <v>184468</v>
      </c>
      <c r="O14" s="90">
        <f>SUM(B14:N14)</f>
        <v>6984292</v>
      </c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2657152</v>
      </c>
      <c r="C23" s="90">
        <f t="shared" si="0"/>
        <v>1657110</v>
      </c>
      <c r="D23" s="90">
        <f t="shared" si="0"/>
        <v>706918</v>
      </c>
      <c r="E23" s="90">
        <f t="shared" si="0"/>
        <v>4027370</v>
      </c>
      <c r="F23" s="90">
        <f t="shared" si="0"/>
        <v>3212386</v>
      </c>
      <c r="G23" s="90">
        <f>SUM(G10:G21)</f>
        <v>1640916</v>
      </c>
      <c r="H23" s="90">
        <f t="shared" si="0"/>
        <v>2168160</v>
      </c>
      <c r="I23" s="90">
        <f>SUM(I10:I21)</f>
        <v>3590526</v>
      </c>
      <c r="J23" s="90">
        <f t="shared" si="0"/>
        <v>4593234</v>
      </c>
      <c r="K23" s="90">
        <f>SUM(K10:K21)</f>
        <v>4964466</v>
      </c>
      <c r="L23" s="90">
        <f t="shared" si="0"/>
        <v>827432</v>
      </c>
      <c r="M23" s="90">
        <f t="shared" si="0"/>
        <v>5502740</v>
      </c>
      <c r="N23" s="90">
        <f t="shared" si="0"/>
        <v>986616</v>
      </c>
      <c r="O23" s="90">
        <f t="shared" si="0"/>
        <v>36535026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8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9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DATE(2014,7,1)</f>
        <v>41821</v>
      </c>
      <c r="B31" s="89">
        <f>'MONTHLY STATS'!$K$9*0.21</f>
        <v>2339898.2901</v>
      </c>
      <c r="C31" s="89">
        <f>'MONTHLY STATS'!$K$17*0.21</f>
        <v>1455485.0856</v>
      </c>
      <c r="D31" s="89">
        <f>'MONTHLY STATS'!$K$25*0.21</f>
        <v>580363.6229999999</v>
      </c>
      <c r="E31" s="89">
        <f>'MONTHLY STATS'!$K$33*0.21</f>
        <v>3999968.2652999996</v>
      </c>
      <c r="F31" s="89">
        <f>'MONTHLY STATS'!$K$41*0.21</f>
        <v>3028190.3862</v>
      </c>
      <c r="G31" s="89">
        <f>'MONTHLY STATS'!$K$49*0.21</f>
        <v>1126970.5965</v>
      </c>
      <c r="H31" s="89">
        <f>'MONTHLY STATS'!$K$57*0.21</f>
        <v>1332258.9168</v>
      </c>
      <c r="I31" s="89">
        <f>'MONTHLY STATS'!$K$65*0.21</f>
        <v>2478255.3998999996</v>
      </c>
      <c r="J31" s="89">
        <f>'MONTHLY STATS'!$K$73*0.21</f>
        <v>3630317.4935999997</v>
      </c>
      <c r="K31" s="89">
        <f>'MONTHLY STATS'!$K$81*0.21</f>
        <v>3725248.0755</v>
      </c>
      <c r="L31" s="89">
        <f>'MONTHLY STATS'!$K$89*0.21</f>
        <v>637106.1354</v>
      </c>
      <c r="M31" s="89">
        <f>'MONTHLY STATS'!$K$97*0.21</f>
        <v>4748637.6504</v>
      </c>
      <c r="N31" s="89">
        <f>'MONTHLY STATS'!$K$105*0.21</f>
        <v>701488.4813999999</v>
      </c>
      <c r="O31" s="90">
        <f>SUM(B31:N31)</f>
        <v>29784188.399699993</v>
      </c>
      <c r="P31" s="83"/>
    </row>
    <row r="32" spans="1:16" ht="15.75">
      <c r="A32" s="88">
        <f>DATE(2014,8,1)</f>
        <v>41852</v>
      </c>
      <c r="B32" s="89">
        <f>'MONTHLY STATS'!$K$10*0.21</f>
        <v>2554663.1501999996</v>
      </c>
      <c r="C32" s="89">
        <f>'MONTHLY STATS'!$K$18*0.21</f>
        <v>1504522.1877</v>
      </c>
      <c r="D32" s="89">
        <f>'MONTHLY STATS'!$K$26*0.21</f>
        <v>629658.3237000001</v>
      </c>
      <c r="E32" s="89">
        <f>'MONTHLY STATS'!$K$34*0.21</f>
        <v>3782254.9338</v>
      </c>
      <c r="F32" s="89">
        <f>'MONTHLY STATS'!$K$42*0.21</f>
        <v>3097609.0760999997</v>
      </c>
      <c r="G32" s="89">
        <f>'MONTHLY STATS'!$K$50*0.21</f>
        <v>1208896.3488</v>
      </c>
      <c r="H32" s="89">
        <f>'MONTHLY STATS'!$K$58*0.21</f>
        <v>1348330.4666999998</v>
      </c>
      <c r="I32" s="89">
        <f>'MONTHLY STATS'!$K$66*0.21</f>
        <v>2702267.5701</v>
      </c>
      <c r="J32" s="89">
        <f>'MONTHLY STATS'!$K$74*0.21</f>
        <v>3679886.3261999995</v>
      </c>
      <c r="K32" s="89">
        <f>'MONTHLY STATS'!$K$82*0.21</f>
        <v>3976063.1966999997</v>
      </c>
      <c r="L32" s="89">
        <f>'MONTHLY STATS'!$K$90*0.21</f>
        <v>682583.3973</v>
      </c>
      <c r="M32" s="89">
        <f>'MONTHLY STATS'!$K$98*0.21</f>
        <v>4986832.2042</v>
      </c>
      <c r="N32" s="89">
        <f>'MONTHLY STATS'!$K$106*0.21</f>
        <v>723618.5166</v>
      </c>
      <c r="O32" s="90">
        <f>SUM(B32:N32)</f>
        <v>30877185.6981</v>
      </c>
      <c r="P32" s="83"/>
    </row>
    <row r="33" spans="1:16" ht="15.75">
      <c r="A33" s="88">
        <f>DATE(2014,9,1)</f>
        <v>41883</v>
      </c>
      <c r="B33" s="89">
        <f>'MONTHLY STATS'!$K$11*0.21</f>
        <v>2231867.253</v>
      </c>
      <c r="C33" s="89">
        <f>'MONTHLY STATS'!$K$19*0.21</f>
        <v>1383553.8654</v>
      </c>
      <c r="D33" s="89">
        <f>'MONTHLY STATS'!$K$27*0.21</f>
        <v>545237.7588</v>
      </c>
      <c r="E33" s="89">
        <f>'MONTHLY STATS'!$K$35*0.21</f>
        <v>3461299.6676999996</v>
      </c>
      <c r="F33" s="89">
        <f>'MONTHLY STATS'!$K$43*0.21</f>
        <v>2989077.4767</v>
      </c>
      <c r="G33" s="89">
        <f>'MONTHLY STATS'!$K$51*0.21</f>
        <v>997599.4727999999</v>
      </c>
      <c r="H33" s="89">
        <f>'MONTHLY STATS'!$K$59*0.21</f>
        <v>1265094.5895</v>
      </c>
      <c r="I33" s="89">
        <f>'MONTHLY STATS'!$K$67*0.21</f>
        <v>2394953.2992</v>
      </c>
      <c r="J33" s="89">
        <f>'MONTHLY STATS'!$K$75*0.21</f>
        <v>3087329.5719</v>
      </c>
      <c r="K33" s="89">
        <f>'MONTHLY STATS'!$K$83*0.21</f>
        <v>3503857.2155999998</v>
      </c>
      <c r="L33" s="89">
        <f>'MONTHLY STATS'!$K$91*0.21</f>
        <v>573491.9064</v>
      </c>
      <c r="M33" s="89">
        <f>'MONTHLY STATS'!$K$99*0.21</f>
        <v>4238275.696199999</v>
      </c>
      <c r="N33" s="89">
        <f>'MONTHLY STATS'!$K$107*0.21</f>
        <v>646344.2747999999</v>
      </c>
      <c r="O33" s="90">
        <f>SUM(B33:N33)</f>
        <v>27317982.047999997</v>
      </c>
      <c r="P33" s="83"/>
    </row>
    <row r="34" spans="1:16" ht="15.75">
      <c r="A34" s="88">
        <f>DATE(2014,10,1)</f>
        <v>41913</v>
      </c>
      <c r="B34" s="89">
        <f>'MONTHLY STATS'!$K$12*0.21</f>
        <v>2407284.6692999997</v>
      </c>
      <c r="C34" s="89">
        <f>'MONTHLY STATS'!$K$20*0.21</f>
        <v>1362983.6261999998</v>
      </c>
      <c r="D34" s="89">
        <f>'MONTHLY STATS'!$K$28*0.21</f>
        <v>541467.7254</v>
      </c>
      <c r="E34" s="89">
        <f>'MONTHLY STATS'!$K$36*0.21</f>
        <v>3802671.7491</v>
      </c>
      <c r="F34" s="89">
        <f>'MONTHLY STATS'!$K$44*0.21</f>
        <v>3085155.1269</v>
      </c>
      <c r="G34" s="89">
        <f>'MONTHLY STATS'!$K$52*0.21</f>
        <v>1080715.461</v>
      </c>
      <c r="H34" s="89">
        <f>'MONTHLY STATS'!$K$60*0.21</f>
        <v>1312077.984</v>
      </c>
      <c r="I34" s="89">
        <f>'MONTHLY STATS'!$K$68*0.21</f>
        <v>2449147.2852</v>
      </c>
      <c r="J34" s="89">
        <f>'MONTHLY STATS'!$K$76*0.21</f>
        <v>3323300.6813999997</v>
      </c>
      <c r="K34" s="89">
        <f>'MONTHLY STATS'!$K$84*0.21</f>
        <v>3589494.3671999997</v>
      </c>
      <c r="L34" s="89">
        <f>'MONTHLY STATS'!$K$92*0.21</f>
        <v>626395.791</v>
      </c>
      <c r="M34" s="89">
        <f>'MONTHLY STATS'!$K$100*0.21</f>
        <v>4465313.9517</v>
      </c>
      <c r="N34" s="89">
        <f>'MONTHLY STATS'!$K$108*0.21</f>
        <v>652569.1787999999</v>
      </c>
      <c r="O34" s="90">
        <f>SUM(B34:N34)</f>
        <v>28698577.5972</v>
      </c>
      <c r="P34" s="83"/>
    </row>
    <row r="35" spans="1:16" ht="15.75">
      <c r="A35" s="88">
        <f>DATE(2014,11,1)</f>
        <v>41944</v>
      </c>
      <c r="B35" s="89">
        <f>'MONTHLY STATS'!$K$13*0.21</f>
        <v>2416201.3323</v>
      </c>
      <c r="C35" s="89">
        <f>'MONTHLY STATS'!$K$21*0.21</f>
        <v>1309178.3145</v>
      </c>
      <c r="D35" s="89">
        <f>'MONTHLY STATS'!$K$29*0.21</f>
        <v>578323.2441</v>
      </c>
      <c r="E35" s="89">
        <f>'MONTHLY STATS'!$K$37*0.21</f>
        <v>3611826.603</v>
      </c>
      <c r="F35" s="89">
        <f>'MONTHLY STATS'!$K$45*0.21</f>
        <v>3023953.1951999995</v>
      </c>
      <c r="G35" s="89">
        <f>'MONTHLY STATS'!$K$53*0.21</f>
        <v>1047214.5452999999</v>
      </c>
      <c r="H35" s="89">
        <f>'MONTHLY STATS'!$K$61*0.21</f>
        <v>1290368.9441999998</v>
      </c>
      <c r="I35" s="89">
        <f>'MONTHLY STATS'!$K$69*0.21</f>
        <v>2245706.3307</v>
      </c>
      <c r="J35" s="89">
        <f>'MONTHLY STATS'!$K$77*0.21</f>
        <v>3080723.772</v>
      </c>
      <c r="K35" s="89">
        <f>'MONTHLY STATS'!$K$85*0.21</f>
        <v>3638766.3878999995</v>
      </c>
      <c r="L35" s="89">
        <f>'MONTHLY STATS'!$K$93*0.21</f>
        <v>589078.9611</v>
      </c>
      <c r="M35" s="89">
        <f>'MONTHLY STATS'!$K$101*0.21</f>
        <v>4483316.0799</v>
      </c>
      <c r="N35" s="89">
        <f>'MONTHLY STATS'!$K$109*0.21</f>
        <v>634720.3232999999</v>
      </c>
      <c r="O35" s="90">
        <f>SUM(B35:N35)</f>
        <v>27949378.033499997</v>
      </c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11949914.694899999</v>
      </c>
      <c r="C44" s="90">
        <f t="shared" si="1"/>
        <v>7015723.0794</v>
      </c>
      <c r="D44" s="90">
        <f t="shared" si="1"/>
        <v>2875050.675</v>
      </c>
      <c r="E44" s="90">
        <f t="shared" si="1"/>
        <v>18658021.2189</v>
      </c>
      <c r="F44" s="90">
        <f t="shared" si="1"/>
        <v>15223985.2611</v>
      </c>
      <c r="G44" s="90">
        <f t="shared" si="1"/>
        <v>5461396.4244</v>
      </c>
      <c r="H44" s="90">
        <f t="shared" si="1"/>
        <v>6548130.901199999</v>
      </c>
      <c r="I44" s="90">
        <f>SUM(I31:I42)</f>
        <v>12270329.8851</v>
      </c>
      <c r="J44" s="90">
        <f t="shared" si="1"/>
        <v>16801557.8451</v>
      </c>
      <c r="K44" s="90">
        <f>SUM(K31:K42)</f>
        <v>18433429.2429</v>
      </c>
      <c r="L44" s="90">
        <f t="shared" si="1"/>
        <v>3108656.1912</v>
      </c>
      <c r="M44" s="90">
        <f t="shared" si="1"/>
        <v>22922375.582399998</v>
      </c>
      <c r="N44" s="90">
        <f t="shared" si="1"/>
        <v>3358740.7748999996</v>
      </c>
      <c r="O44" s="90">
        <f t="shared" si="1"/>
        <v>144627311.7765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.75">
      <c r="A47" s="256" t="s">
        <v>65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</row>
    <row r="48" spans="1:9" ht="15.75">
      <c r="A48" s="115" t="s">
        <v>31</v>
      </c>
      <c r="B48" s="98"/>
      <c r="C48" s="98"/>
      <c r="D48" s="98"/>
      <c r="E48" s="98"/>
      <c r="F48" s="98"/>
      <c r="G48" s="98"/>
      <c r="H48" s="98"/>
      <c r="I48" s="98"/>
    </row>
    <row r="49" spans="1:9" ht="15.75">
      <c r="A49" s="115"/>
      <c r="B49" s="98"/>
      <c r="C49" s="98"/>
      <c r="D49" s="98"/>
      <c r="E49" s="98"/>
      <c r="F49" s="98"/>
      <c r="G49" s="98"/>
      <c r="H49" s="98"/>
      <c r="I49" s="98"/>
    </row>
    <row r="50" ht="15.7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6" t="s">
        <v>74</v>
      </c>
      <c r="B3" s="117"/>
      <c r="C3" s="200"/>
      <c r="D3" s="200"/>
      <c r="E3" s="200"/>
      <c r="F3" s="117"/>
      <c r="G3" s="210"/>
    </row>
    <row r="4" spans="1:7" ht="15">
      <c r="A4" s="287" t="s">
        <v>75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4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DATE(2014,7,1)</f>
        <v>41821</v>
      </c>
      <c r="C9" s="204">
        <v>4810629</v>
      </c>
      <c r="D9" s="204">
        <v>885313</v>
      </c>
      <c r="E9" s="204">
        <v>979631</v>
      </c>
      <c r="F9" s="132">
        <f>(+D9-E9)/E9</f>
        <v>-0.09627910917478112</v>
      </c>
      <c r="G9" s="215">
        <f>D9/C9</f>
        <v>0.1840326909433257</v>
      </c>
      <c r="H9" s="123"/>
    </row>
    <row r="10" spans="1:8" ht="15.75">
      <c r="A10" s="130"/>
      <c r="B10" s="131">
        <f>DATE(2014,8,1)</f>
        <v>41852</v>
      </c>
      <c r="C10" s="204">
        <v>5288746</v>
      </c>
      <c r="D10" s="204">
        <v>1087040.34</v>
      </c>
      <c r="E10" s="204">
        <v>1015141.56</v>
      </c>
      <c r="F10" s="132">
        <f>(+D10-E10)/E10</f>
        <v>0.07082635844403812</v>
      </c>
      <c r="G10" s="215">
        <f>D10/C10</f>
        <v>0.20553839038592514</v>
      </c>
      <c r="H10" s="123"/>
    </row>
    <row r="11" spans="1:8" ht="15.75">
      <c r="A11" s="130"/>
      <c r="B11" s="131">
        <f>DATE(2014,9,1)</f>
        <v>41883</v>
      </c>
      <c r="C11" s="204">
        <v>4605638</v>
      </c>
      <c r="D11" s="204">
        <v>1089965.23</v>
      </c>
      <c r="E11" s="204">
        <v>1019087.22</v>
      </c>
      <c r="F11" s="132">
        <f>(+D11-E11)/E11</f>
        <v>0.0695504845993457</v>
      </c>
      <c r="G11" s="215">
        <f>D11/C11</f>
        <v>0.23665890154632213</v>
      </c>
      <c r="H11" s="123"/>
    </row>
    <row r="12" spans="1:8" ht="15.75">
      <c r="A12" s="130"/>
      <c r="B12" s="131">
        <f>DATE(2014,10,1)</f>
        <v>41913</v>
      </c>
      <c r="C12" s="204">
        <v>5083098</v>
      </c>
      <c r="D12" s="204">
        <v>1026326.55</v>
      </c>
      <c r="E12" s="204">
        <v>928648.96</v>
      </c>
      <c r="F12" s="132">
        <f>(+D12-E12)/E12</f>
        <v>0.10518246851856711</v>
      </c>
      <c r="G12" s="215">
        <f>D12/C12</f>
        <v>0.20190965234193795</v>
      </c>
      <c r="H12" s="123"/>
    </row>
    <row r="13" spans="1:8" ht="15.75">
      <c r="A13" s="130"/>
      <c r="B13" s="131">
        <f>DATE(2014,11,1)</f>
        <v>41944</v>
      </c>
      <c r="C13" s="204">
        <v>4998298</v>
      </c>
      <c r="D13" s="204">
        <v>833113.97</v>
      </c>
      <c r="E13" s="204">
        <v>1032691.58</v>
      </c>
      <c r="F13" s="132">
        <f>(+D13-E13)/E13</f>
        <v>-0.19325964679599691</v>
      </c>
      <c r="G13" s="215">
        <f>D13/C13</f>
        <v>0.16667953171259497</v>
      </c>
      <c r="H13" s="123"/>
    </row>
    <row r="14" spans="1:8" ht="15.75" thickBot="1">
      <c r="A14" s="133"/>
      <c r="B14" s="134"/>
      <c r="C14" s="204"/>
      <c r="D14" s="204"/>
      <c r="E14" s="204"/>
      <c r="F14" s="132"/>
      <c r="G14" s="215"/>
      <c r="H14" s="123"/>
    </row>
    <row r="15" spans="1:8" ht="17.25" thickBot="1" thickTop="1">
      <c r="A15" s="135" t="s">
        <v>14</v>
      </c>
      <c r="B15" s="136"/>
      <c r="C15" s="201">
        <f>SUM(C9:C14)</f>
        <v>24786409</v>
      </c>
      <c r="D15" s="201">
        <f>SUM(D9:D14)</f>
        <v>4921759.09</v>
      </c>
      <c r="E15" s="201">
        <f>SUM(E9:E14)</f>
        <v>4975200.32</v>
      </c>
      <c r="F15" s="137">
        <f>(+D15-E15)/E15</f>
        <v>-0.01074152326795164</v>
      </c>
      <c r="G15" s="212">
        <f>D15/C15</f>
        <v>0.19856684725891516</v>
      </c>
      <c r="H15" s="123"/>
    </row>
    <row r="16" spans="1:8" ht="15.75" customHeight="1" thickTop="1">
      <c r="A16" s="138"/>
      <c r="B16" s="139"/>
      <c r="C16" s="205"/>
      <c r="D16" s="205"/>
      <c r="E16" s="205"/>
      <c r="F16" s="140"/>
      <c r="G16" s="216"/>
      <c r="H16" s="123"/>
    </row>
    <row r="17" spans="1:8" ht="15.75">
      <c r="A17" s="19" t="s">
        <v>15</v>
      </c>
      <c r="B17" s="131">
        <f>DATE(2014,7,1)</f>
        <v>41821</v>
      </c>
      <c r="C17" s="204">
        <v>2738644.25</v>
      </c>
      <c r="D17" s="204">
        <v>648014.25</v>
      </c>
      <c r="E17" s="204">
        <v>473986</v>
      </c>
      <c r="F17" s="132">
        <f>(+D17-E17)/E17</f>
        <v>0.3671590511112143</v>
      </c>
      <c r="G17" s="215">
        <f>D17/C17</f>
        <v>0.23661862982021123</v>
      </c>
      <c r="H17" s="123"/>
    </row>
    <row r="18" spans="1:8" ht="15.75">
      <c r="A18" s="19"/>
      <c r="B18" s="131">
        <f>DATE(2014,8,1)</f>
        <v>41852</v>
      </c>
      <c r="C18" s="204">
        <v>2649879</v>
      </c>
      <c r="D18" s="204">
        <v>536234.5</v>
      </c>
      <c r="E18" s="204">
        <v>630118</v>
      </c>
      <c r="F18" s="132">
        <f>(+D18-E18)/E18</f>
        <v>-0.14899352184828873</v>
      </c>
      <c r="G18" s="215">
        <f>D18/C18</f>
        <v>0.202361881429303</v>
      </c>
      <c r="H18" s="123"/>
    </row>
    <row r="19" spans="1:8" ht="15.75">
      <c r="A19" s="19"/>
      <c r="B19" s="131">
        <f>DATE(2014,9,1)</f>
        <v>41883</v>
      </c>
      <c r="C19" s="204">
        <v>2428620.01</v>
      </c>
      <c r="D19" s="204">
        <v>586348.01</v>
      </c>
      <c r="E19" s="204">
        <v>539966</v>
      </c>
      <c r="F19" s="132">
        <f>(+D19-E19)/E19</f>
        <v>0.08589801950493181</v>
      </c>
      <c r="G19" s="215">
        <f>D19/C19</f>
        <v>0.24143258623649405</v>
      </c>
      <c r="H19" s="123"/>
    </row>
    <row r="20" spans="1:8" ht="15.75">
      <c r="A20" s="19"/>
      <c r="B20" s="131">
        <f>DATE(2014,10,1)</f>
        <v>41913</v>
      </c>
      <c r="C20" s="204">
        <v>2483861</v>
      </c>
      <c r="D20" s="204">
        <v>579096</v>
      </c>
      <c r="E20" s="204">
        <v>476110.5</v>
      </c>
      <c r="F20" s="132">
        <f>(+D20-E20)/E20</f>
        <v>0.2163058785723062</v>
      </c>
      <c r="G20" s="215">
        <f>D20/C20</f>
        <v>0.23314348105630708</v>
      </c>
      <c r="H20" s="123"/>
    </row>
    <row r="21" spans="1:8" ht="15.75">
      <c r="A21" s="19"/>
      <c r="B21" s="131">
        <f>DATE(2014,11,1)</f>
        <v>41944</v>
      </c>
      <c r="C21" s="204">
        <v>2476136</v>
      </c>
      <c r="D21" s="204">
        <v>520588</v>
      </c>
      <c r="E21" s="204">
        <v>469818.5</v>
      </c>
      <c r="F21" s="132">
        <f>(+D21-E21)/E21</f>
        <v>0.1080619430695045</v>
      </c>
      <c r="G21" s="215">
        <f>D21/C21</f>
        <v>0.21024208686437257</v>
      </c>
      <c r="H21" s="123"/>
    </row>
    <row r="22" spans="1:8" ht="15.75" thickBot="1">
      <c r="A22" s="133"/>
      <c r="B22" s="131"/>
      <c r="C22" s="204"/>
      <c r="D22" s="204"/>
      <c r="E22" s="204"/>
      <c r="F22" s="132"/>
      <c r="G22" s="215"/>
      <c r="H22" s="123"/>
    </row>
    <row r="23" spans="1:8" ht="17.25" thickBot="1" thickTop="1">
      <c r="A23" s="135" t="s">
        <v>14</v>
      </c>
      <c r="B23" s="136"/>
      <c r="C23" s="201">
        <f>SUM(C17:C22)</f>
        <v>12777140.26</v>
      </c>
      <c r="D23" s="201">
        <f>SUM(D17:D22)</f>
        <v>2870280.76</v>
      </c>
      <c r="E23" s="201">
        <f>SUM(E17:E22)</f>
        <v>2589999</v>
      </c>
      <c r="F23" s="137">
        <f>(+D23-E23)/E23</f>
        <v>0.10821693753549703</v>
      </c>
      <c r="G23" s="212">
        <f>D23/C23</f>
        <v>0.22464187616267114</v>
      </c>
      <c r="H23" s="123"/>
    </row>
    <row r="24" spans="1:8" ht="15.75" customHeight="1" thickTop="1">
      <c r="A24" s="255"/>
      <c r="B24" s="139"/>
      <c r="C24" s="205"/>
      <c r="D24" s="205"/>
      <c r="E24" s="205"/>
      <c r="F24" s="140"/>
      <c r="G24" s="219"/>
      <c r="H24" s="123"/>
    </row>
    <row r="25" spans="1:8" ht="15.75">
      <c r="A25" s="19" t="s">
        <v>56</v>
      </c>
      <c r="B25" s="131">
        <f>DATE(2014,7,1)</f>
        <v>41821</v>
      </c>
      <c r="C25" s="204">
        <v>1069599</v>
      </c>
      <c r="D25" s="204">
        <v>269057.5</v>
      </c>
      <c r="E25" s="204">
        <v>327537.5</v>
      </c>
      <c r="F25" s="132">
        <f>(+D25-E25)/E25</f>
        <v>-0.17854444147616685</v>
      </c>
      <c r="G25" s="215">
        <f>D25/C25</f>
        <v>0.25154987990826466</v>
      </c>
      <c r="H25" s="123"/>
    </row>
    <row r="26" spans="1:8" ht="15.75">
      <c r="A26" s="19"/>
      <c r="B26" s="131">
        <f>DATE(2014,8,1)</f>
        <v>41852</v>
      </c>
      <c r="C26" s="204">
        <v>1248717</v>
      </c>
      <c r="D26" s="204">
        <v>293428.5</v>
      </c>
      <c r="E26" s="204">
        <v>291070.5</v>
      </c>
      <c r="F26" s="132">
        <f>(+D26-E26)/E26</f>
        <v>0.008101130138574676</v>
      </c>
      <c r="G26" s="215">
        <f>D26/C26</f>
        <v>0.23498398756483654</v>
      </c>
      <c r="H26" s="123"/>
    </row>
    <row r="27" spans="1:8" ht="15.75">
      <c r="A27" s="19"/>
      <c r="B27" s="131">
        <f>DATE(2014,9,1)</f>
        <v>41883</v>
      </c>
      <c r="C27" s="204">
        <v>1112421</v>
      </c>
      <c r="D27" s="204">
        <v>281304</v>
      </c>
      <c r="E27" s="204">
        <v>327340.5</v>
      </c>
      <c r="F27" s="132">
        <f>(+D27-E27)/E27</f>
        <v>-0.1406379595558753</v>
      </c>
      <c r="G27" s="215">
        <f>D27/C27</f>
        <v>0.2528754850906267</v>
      </c>
      <c r="H27" s="123"/>
    </row>
    <row r="28" spans="1:8" ht="15.75">
      <c r="A28" s="19"/>
      <c r="B28" s="131">
        <f>DATE(2014,10,1)</f>
        <v>41913</v>
      </c>
      <c r="C28" s="204">
        <v>1119877</v>
      </c>
      <c r="D28" s="204">
        <v>223101</v>
      </c>
      <c r="E28" s="204">
        <v>282921</v>
      </c>
      <c r="F28" s="132">
        <f>(+D28-E28)/E28</f>
        <v>-0.21143711495435122</v>
      </c>
      <c r="G28" s="215">
        <f>D28/C28</f>
        <v>0.19921919996571053</v>
      </c>
      <c r="H28" s="123"/>
    </row>
    <row r="29" spans="1:8" ht="15.75">
      <c r="A29" s="19"/>
      <c r="B29" s="131">
        <f>DATE(2014,11,1)</f>
        <v>41944</v>
      </c>
      <c r="C29" s="204">
        <v>1206563</v>
      </c>
      <c r="D29" s="204">
        <v>243735</v>
      </c>
      <c r="E29" s="204">
        <v>255459</v>
      </c>
      <c r="F29" s="132">
        <f>(+D29-E29)/E29</f>
        <v>-0.045893861637288175</v>
      </c>
      <c r="G29" s="215">
        <f>D29/C29</f>
        <v>0.2020076862957011</v>
      </c>
      <c r="H29" s="123"/>
    </row>
    <row r="30" spans="1:8" ht="15.75" thickBot="1">
      <c r="A30" s="133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41" t="s">
        <v>14</v>
      </c>
      <c r="B31" s="142"/>
      <c r="C31" s="206">
        <f>SUM(C25:C30)</f>
        <v>5757177</v>
      </c>
      <c r="D31" s="206">
        <f>SUM(D25:D30)</f>
        <v>1310626</v>
      </c>
      <c r="E31" s="206">
        <f>SUM(E25:E30)</f>
        <v>1484328.5</v>
      </c>
      <c r="F31" s="143">
        <f>(+D31-E31)/E31</f>
        <v>-0.11702429751904649</v>
      </c>
      <c r="G31" s="217">
        <f>D31/C31</f>
        <v>0.22765080872101032</v>
      </c>
      <c r="H31" s="123"/>
    </row>
    <row r="32" spans="1:8" ht="15.75" thickTop="1">
      <c r="A32" s="133"/>
      <c r="B32" s="134"/>
      <c r="C32" s="204"/>
      <c r="D32" s="204"/>
      <c r="E32" s="204"/>
      <c r="F32" s="132"/>
      <c r="G32" s="218"/>
      <c r="H32" s="123"/>
    </row>
    <row r="33" spans="1:8" ht="15.75">
      <c r="A33" s="177" t="s">
        <v>67</v>
      </c>
      <c r="B33" s="131">
        <f>DATE(2014,7,1)</f>
        <v>41821</v>
      </c>
      <c r="C33" s="204">
        <v>11678724</v>
      </c>
      <c r="D33" s="204">
        <v>2863131.21</v>
      </c>
      <c r="E33" s="204">
        <v>2879949.68</v>
      </c>
      <c r="F33" s="132">
        <f>(+D33-E33)/E33</f>
        <v>-0.005839848562909684</v>
      </c>
      <c r="G33" s="215">
        <f>D33/C33</f>
        <v>0.24515787940531858</v>
      </c>
      <c r="H33" s="123"/>
    </row>
    <row r="34" spans="1:8" ht="15.75">
      <c r="A34" s="177"/>
      <c r="B34" s="131">
        <f>DATE(2014,8,1)</f>
        <v>41852</v>
      </c>
      <c r="C34" s="204">
        <v>11698237</v>
      </c>
      <c r="D34" s="204">
        <v>1916651.25</v>
      </c>
      <c r="E34" s="204">
        <v>2484831.68</v>
      </c>
      <c r="F34" s="132">
        <f>(+D34-E34)/E34</f>
        <v>-0.2286595243344612</v>
      </c>
      <c r="G34" s="215">
        <f>D34/C34</f>
        <v>0.16384103433705438</v>
      </c>
      <c r="H34" s="123"/>
    </row>
    <row r="35" spans="1:8" ht="15.75">
      <c r="A35" s="177"/>
      <c r="B35" s="131">
        <f>DATE(2014,9,1)</f>
        <v>41883</v>
      </c>
      <c r="C35" s="204">
        <v>10583987.5</v>
      </c>
      <c r="D35" s="204">
        <v>1773873.21</v>
      </c>
      <c r="E35" s="204">
        <v>2818834.5</v>
      </c>
      <c r="F35" s="132">
        <f>(+D35-E35)/E35</f>
        <v>-0.3707068612932047</v>
      </c>
      <c r="G35" s="215">
        <f>D35/C35</f>
        <v>0.16759970757713008</v>
      </c>
      <c r="H35" s="123"/>
    </row>
    <row r="36" spans="1:8" ht="15.75">
      <c r="A36" s="177"/>
      <c r="B36" s="131">
        <f>DATE(2014,10,1)</f>
        <v>41913</v>
      </c>
      <c r="C36" s="204">
        <v>11534699</v>
      </c>
      <c r="D36" s="204">
        <v>2542242.75</v>
      </c>
      <c r="E36" s="204">
        <v>2363858.13</v>
      </c>
      <c r="F36" s="132">
        <f>(+D36-E36)/E36</f>
        <v>0.07546333586440744</v>
      </c>
      <c r="G36" s="215">
        <f>D36/C36</f>
        <v>0.22039957436253862</v>
      </c>
      <c r="H36" s="123"/>
    </row>
    <row r="37" spans="1:8" ht="15.75">
      <c r="A37" s="177"/>
      <c r="B37" s="131">
        <f>DATE(2014,11,1)</f>
        <v>41944</v>
      </c>
      <c r="C37" s="204">
        <v>12389795.5</v>
      </c>
      <c r="D37" s="204">
        <v>2296283.49</v>
      </c>
      <c r="E37" s="204">
        <v>2362571.5</v>
      </c>
      <c r="F37" s="132">
        <f>(+D37-E37)/E37</f>
        <v>-0.02805756778154641</v>
      </c>
      <c r="G37" s="215">
        <f>D37/C37</f>
        <v>0.18533667403953522</v>
      </c>
      <c r="H37" s="123"/>
    </row>
    <row r="38" spans="1:8" ht="15.75" customHeight="1" thickBot="1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Bot="1" thickTop="1">
      <c r="A39" s="141" t="s">
        <v>14</v>
      </c>
      <c r="B39" s="142"/>
      <c r="C39" s="206">
        <f>SUM(C33:C38)</f>
        <v>57885443</v>
      </c>
      <c r="D39" s="206">
        <f>SUM(D33:D38)</f>
        <v>11392181.91</v>
      </c>
      <c r="E39" s="206">
        <f>SUM(E33:E38)</f>
        <v>12910045.49</v>
      </c>
      <c r="F39" s="143">
        <f>(+D39-E39)/E39</f>
        <v>-0.11757228750090175</v>
      </c>
      <c r="G39" s="217">
        <f>D39/C39</f>
        <v>0.19680564438282006</v>
      </c>
      <c r="H39" s="123"/>
    </row>
    <row r="40" spans="1:8" ht="15.75" customHeight="1" thickTop="1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>
      <c r="A41" s="130" t="s">
        <v>39</v>
      </c>
      <c r="B41" s="131">
        <f>DATE(2014,7,1)</f>
        <v>41821</v>
      </c>
      <c r="C41" s="204">
        <v>13345838</v>
      </c>
      <c r="D41" s="204">
        <v>3102423</v>
      </c>
      <c r="E41" s="204">
        <v>2762564.05</v>
      </c>
      <c r="F41" s="132">
        <f>(+D41-E41)/E41</f>
        <v>0.12302301190084632</v>
      </c>
      <c r="G41" s="215">
        <f>D41/C41</f>
        <v>0.2324637089105982</v>
      </c>
      <c r="H41" s="123"/>
    </row>
    <row r="42" spans="1:8" ht="15" customHeight="1">
      <c r="A42" s="130"/>
      <c r="B42" s="131">
        <f>DATE(2014,8,1)</f>
        <v>41852</v>
      </c>
      <c r="C42" s="204">
        <v>14046302</v>
      </c>
      <c r="D42" s="204">
        <v>2663132</v>
      </c>
      <c r="E42" s="204">
        <v>2695314.5</v>
      </c>
      <c r="F42" s="132">
        <f>(+D42-E42)/E42</f>
        <v>-0.011940165053094916</v>
      </c>
      <c r="G42" s="215">
        <f>D42/C42</f>
        <v>0.18959666394756428</v>
      </c>
      <c r="H42" s="123"/>
    </row>
    <row r="43" spans="1:8" ht="15" customHeight="1">
      <c r="A43" s="130"/>
      <c r="B43" s="131">
        <f>DATE(2014,9,1)</f>
        <v>41883</v>
      </c>
      <c r="C43" s="204">
        <v>14676997</v>
      </c>
      <c r="D43" s="204">
        <v>3098908.5</v>
      </c>
      <c r="E43" s="204">
        <v>2489578</v>
      </c>
      <c r="F43" s="132">
        <f>(+D43-E43)/E43</f>
        <v>0.2447525243233994</v>
      </c>
      <c r="G43" s="215">
        <f>D43/C43</f>
        <v>0.21114050101665893</v>
      </c>
      <c r="H43" s="123"/>
    </row>
    <row r="44" spans="1:8" ht="15" customHeight="1">
      <c r="A44" s="130"/>
      <c r="B44" s="131">
        <f>DATE(2014,10,1)</f>
        <v>41913</v>
      </c>
      <c r="C44" s="204">
        <v>15546097</v>
      </c>
      <c r="D44" s="204">
        <v>3451515</v>
      </c>
      <c r="E44" s="204">
        <v>3395869.51</v>
      </c>
      <c r="F44" s="132">
        <f>(+D44-E44)/E44</f>
        <v>0.016386227396588106</v>
      </c>
      <c r="G44" s="215">
        <f>D44/C44</f>
        <v>0.22201810525175547</v>
      </c>
      <c r="H44" s="123"/>
    </row>
    <row r="45" spans="1:8" ht="15" customHeight="1">
      <c r="A45" s="130"/>
      <c r="B45" s="131">
        <f>DATE(2014,11,1)</f>
        <v>41944</v>
      </c>
      <c r="C45" s="204">
        <v>13930538</v>
      </c>
      <c r="D45" s="204">
        <v>3402962</v>
      </c>
      <c r="E45" s="204">
        <v>3253002.5</v>
      </c>
      <c r="F45" s="132">
        <f>(+D45-E45)/E45</f>
        <v>0.046098796419615416</v>
      </c>
      <c r="G45" s="215">
        <f>D45/C45</f>
        <v>0.24428073057910613</v>
      </c>
      <c r="H45" s="123"/>
    </row>
    <row r="46" spans="1:8" ht="15.7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7">
        <f>SUM(C41:C46)</f>
        <v>71545772</v>
      </c>
      <c r="D47" s="263">
        <f>SUM(D41:D46)</f>
        <v>15718940.5</v>
      </c>
      <c r="E47" s="206">
        <f>SUM(E41:E46)</f>
        <v>14596328.559999999</v>
      </c>
      <c r="F47" s="270">
        <f>(+D47-E47)/E47</f>
        <v>0.07691056935210572</v>
      </c>
      <c r="G47" s="269">
        <f>D47/C47</f>
        <v>0.2197046738135693</v>
      </c>
      <c r="H47" s="123"/>
    </row>
    <row r="48" spans="1:8" ht="15.75" customHeight="1" thickTop="1">
      <c r="A48" s="130"/>
      <c r="B48" s="134"/>
      <c r="C48" s="204"/>
      <c r="D48" s="204"/>
      <c r="E48" s="204"/>
      <c r="F48" s="132"/>
      <c r="G48" s="218"/>
      <c r="H48" s="123"/>
    </row>
    <row r="49" spans="1:8" ht="15.75">
      <c r="A49" s="130" t="s">
        <v>68</v>
      </c>
      <c r="B49" s="131">
        <f>DATE(2014,7,1)</f>
        <v>41821</v>
      </c>
      <c r="C49" s="204">
        <v>2669287</v>
      </c>
      <c r="D49" s="204">
        <v>735730.5</v>
      </c>
      <c r="E49" s="204">
        <v>576221.5</v>
      </c>
      <c r="F49" s="132">
        <f>(+D49-E49)/E49</f>
        <v>0.27681889689989003</v>
      </c>
      <c r="G49" s="215">
        <f>D49/C49</f>
        <v>0.2756280984397706</v>
      </c>
      <c r="H49" s="123"/>
    </row>
    <row r="50" spans="1:8" ht="15.75">
      <c r="A50" s="130"/>
      <c r="B50" s="131">
        <f>DATE(2014,8,1)</f>
        <v>41852</v>
      </c>
      <c r="C50" s="204">
        <v>2779084</v>
      </c>
      <c r="D50" s="204">
        <v>727825</v>
      </c>
      <c r="E50" s="204">
        <v>484224</v>
      </c>
      <c r="F50" s="132">
        <f>(+D50-E50)/E50</f>
        <v>0.5030750231297911</v>
      </c>
      <c r="G50" s="215">
        <f>D50/C50</f>
        <v>0.2618938470373691</v>
      </c>
      <c r="H50" s="123"/>
    </row>
    <row r="51" spans="1:8" ht="15.75">
      <c r="A51" s="130"/>
      <c r="B51" s="131">
        <f>DATE(2014,9,1)</f>
        <v>41883</v>
      </c>
      <c r="C51" s="204">
        <v>2495606</v>
      </c>
      <c r="D51" s="204">
        <v>570839</v>
      </c>
      <c r="E51" s="204">
        <v>503451</v>
      </c>
      <c r="F51" s="132">
        <f>(+D51-E51)/E51</f>
        <v>0.13385215244383267</v>
      </c>
      <c r="G51" s="215">
        <f>D51/C51</f>
        <v>0.2287376292571824</v>
      </c>
      <c r="H51" s="123"/>
    </row>
    <row r="52" spans="1:8" ht="15.75">
      <c r="A52" s="130"/>
      <c r="B52" s="131">
        <f>DATE(2014,10,1)</f>
        <v>41913</v>
      </c>
      <c r="C52" s="204">
        <v>2470729</v>
      </c>
      <c r="D52" s="204">
        <v>661480</v>
      </c>
      <c r="E52" s="204">
        <v>502149.5</v>
      </c>
      <c r="F52" s="132">
        <f>(+D52-E52)/E52</f>
        <v>0.31729694045299256</v>
      </c>
      <c r="G52" s="215">
        <f>D52/C52</f>
        <v>0.26772665071725793</v>
      </c>
      <c r="H52" s="123"/>
    </row>
    <row r="53" spans="1:8" ht="15.75">
      <c r="A53" s="130"/>
      <c r="B53" s="131">
        <f>DATE(2014,11,1)</f>
        <v>41944</v>
      </c>
      <c r="C53" s="204">
        <v>2538492</v>
      </c>
      <c r="D53" s="204">
        <v>552403.5</v>
      </c>
      <c r="E53" s="204">
        <v>533704.5</v>
      </c>
      <c r="F53" s="132">
        <f>(+D53-E53)/E53</f>
        <v>0.035036241965357234</v>
      </c>
      <c r="G53" s="215">
        <f>D53/C53</f>
        <v>0.21761088866933598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7">
        <f>SUM(C49:C54)</f>
        <v>12953198</v>
      </c>
      <c r="D55" s="263">
        <f>SUM(D49:D54)</f>
        <v>3248278</v>
      </c>
      <c r="E55" s="207">
        <f>SUM(E49:E54)</f>
        <v>2599750.5</v>
      </c>
      <c r="F55" s="270">
        <f>(+D55-E55)/E55</f>
        <v>0.2494575921804804</v>
      </c>
      <c r="G55" s="269">
        <f>D55/C55</f>
        <v>0.250770350302682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.75">
      <c r="A57" s="130" t="s">
        <v>17</v>
      </c>
      <c r="B57" s="131">
        <f>DATE(2014,7,1)</f>
        <v>41821</v>
      </c>
      <c r="C57" s="204">
        <v>2090125.25</v>
      </c>
      <c r="D57" s="204">
        <v>301337.75</v>
      </c>
      <c r="E57" s="204">
        <v>408942</v>
      </c>
      <c r="F57" s="132">
        <f>(+D57-E57)/E57</f>
        <v>-0.2631283898450147</v>
      </c>
      <c r="G57" s="215">
        <f>D57/C57</f>
        <v>0.1441721016479754</v>
      </c>
      <c r="H57" s="123"/>
    </row>
    <row r="58" spans="1:8" ht="15.75">
      <c r="A58" s="130"/>
      <c r="B58" s="131">
        <f>DATE(2014,8,1)</f>
        <v>41852</v>
      </c>
      <c r="C58" s="204">
        <v>2291076.51</v>
      </c>
      <c r="D58" s="204">
        <v>367412.51</v>
      </c>
      <c r="E58" s="204">
        <v>382224</v>
      </c>
      <c r="F58" s="132">
        <f>(+D58-E58)/E58</f>
        <v>-0.038750811042739315</v>
      </c>
      <c r="G58" s="215">
        <f>D58/C58</f>
        <v>0.16036675702288095</v>
      </c>
      <c r="H58" s="123"/>
    </row>
    <row r="59" spans="1:8" ht="15.75">
      <c r="A59" s="130"/>
      <c r="B59" s="131">
        <f>DATE(2014,9,1)</f>
        <v>41883</v>
      </c>
      <c r="C59" s="204">
        <v>1978247.25</v>
      </c>
      <c r="D59" s="204">
        <v>473348.25</v>
      </c>
      <c r="E59" s="204">
        <v>379540.5</v>
      </c>
      <c r="F59" s="132">
        <f>(+D59-E59)/E59</f>
        <v>0.24716137013046038</v>
      </c>
      <c r="G59" s="215">
        <f>D59/C59</f>
        <v>0.23927658688771083</v>
      </c>
      <c r="H59" s="123"/>
    </row>
    <row r="60" spans="1:8" ht="15.75">
      <c r="A60" s="130"/>
      <c r="B60" s="131">
        <f>DATE(2014,10,1)</f>
        <v>41913</v>
      </c>
      <c r="C60" s="204">
        <v>2152537.1</v>
      </c>
      <c r="D60" s="204">
        <v>303884.6</v>
      </c>
      <c r="E60" s="204">
        <v>521112.5</v>
      </c>
      <c r="F60" s="132">
        <f>(+D60-E60)/E60</f>
        <v>-0.41685413418407735</v>
      </c>
      <c r="G60" s="215">
        <f>D60/C60</f>
        <v>0.14117508125643918</v>
      </c>
      <c r="H60" s="123"/>
    </row>
    <row r="61" spans="1:8" ht="15.75">
      <c r="A61" s="130"/>
      <c r="B61" s="131">
        <f>DATE(2014,11,1)</f>
        <v>41944</v>
      </c>
      <c r="C61" s="204">
        <v>1923126.5</v>
      </c>
      <c r="D61" s="204">
        <v>299669.5</v>
      </c>
      <c r="E61" s="204">
        <v>377449</v>
      </c>
      <c r="F61" s="132">
        <f>(+D61-E61)/E61</f>
        <v>-0.20606625000993511</v>
      </c>
      <c r="G61" s="215">
        <f>D61/C61</f>
        <v>0.15582412285411282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7">
        <f>SUM(C57:C62)</f>
        <v>10435112.61</v>
      </c>
      <c r="D63" s="263">
        <f>SUM(D57:D62)</f>
        <v>1745652.6099999999</v>
      </c>
      <c r="E63" s="207">
        <f>SUM(E57:E62)</f>
        <v>2069268</v>
      </c>
      <c r="F63" s="271">
        <f>(+D63-E63)/E63</f>
        <v>-0.15639124076726654</v>
      </c>
      <c r="G63" s="269">
        <f>D63/C63</f>
        <v>0.16728641800445312</v>
      </c>
      <c r="H63" s="123"/>
    </row>
    <row r="64" spans="1:8" ht="15.75" customHeight="1" thickTop="1">
      <c r="A64" s="130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69</v>
      </c>
      <c r="B65" s="131">
        <f>DATE(2014,7,1)</f>
        <v>41821</v>
      </c>
      <c r="C65" s="204">
        <v>11472720</v>
      </c>
      <c r="D65" s="204">
        <v>2162151.44</v>
      </c>
      <c r="E65" s="204">
        <v>2052769.15</v>
      </c>
      <c r="F65" s="132">
        <f>(+D65-E65)/E65</f>
        <v>0.05328523667651574</v>
      </c>
      <c r="G65" s="215">
        <f>D65/C65</f>
        <v>0.18846022913485205</v>
      </c>
      <c r="H65" s="123"/>
    </row>
    <row r="66" spans="1:8" ht="15.75">
      <c r="A66" s="130"/>
      <c r="B66" s="131">
        <f>DATE(2014,8,1)</f>
        <v>41852</v>
      </c>
      <c r="C66" s="204">
        <v>13269259</v>
      </c>
      <c r="D66" s="204">
        <v>2638324.5</v>
      </c>
      <c r="E66" s="204">
        <v>2822221.23</v>
      </c>
      <c r="F66" s="132">
        <f>(+D66-E66)/E66</f>
        <v>-0.06516028157013048</v>
      </c>
      <c r="G66" s="215">
        <f>D66/C66</f>
        <v>0.19882982915624753</v>
      </c>
      <c r="H66" s="123"/>
    </row>
    <row r="67" spans="1:8" ht="15.75">
      <c r="A67" s="130"/>
      <c r="B67" s="131">
        <f>DATE(2014,9,1)</f>
        <v>41883</v>
      </c>
      <c r="C67" s="204">
        <v>11946830</v>
      </c>
      <c r="D67" s="204">
        <v>2375626.68</v>
      </c>
      <c r="E67" s="204">
        <v>2714506.57</v>
      </c>
      <c r="F67" s="132">
        <f>(+D67-E67)/E67</f>
        <v>-0.12484032779482265</v>
      </c>
      <c r="G67" s="215">
        <f>D67/C67</f>
        <v>0.19884996103568897</v>
      </c>
      <c r="H67" s="123"/>
    </row>
    <row r="68" spans="1:8" ht="15.75">
      <c r="A68" s="130"/>
      <c r="B68" s="131">
        <f>DATE(2014,10,1)</f>
        <v>41913</v>
      </c>
      <c r="C68" s="204">
        <v>12288319</v>
      </c>
      <c r="D68" s="204">
        <v>2426645.58</v>
      </c>
      <c r="E68" s="204">
        <v>3336766</v>
      </c>
      <c r="F68" s="132">
        <f>(+D68-E68)/E68</f>
        <v>-0.27275524265111784</v>
      </c>
      <c r="G68" s="215">
        <f>D68/C68</f>
        <v>0.19747579632332138</v>
      </c>
      <c r="H68" s="123"/>
    </row>
    <row r="69" spans="1:8" ht="15.75">
      <c r="A69" s="130"/>
      <c r="B69" s="131">
        <f>DATE(2014,11,1)</f>
        <v>41944</v>
      </c>
      <c r="C69" s="204">
        <v>10760412</v>
      </c>
      <c r="D69" s="204">
        <v>2404078.8</v>
      </c>
      <c r="E69" s="204">
        <v>1994777.59</v>
      </c>
      <c r="F69" s="132">
        <f>(+D69-E69)/E69</f>
        <v>0.20518638872416836</v>
      </c>
      <c r="G69" s="215">
        <f>D69/C69</f>
        <v>0.2234188430703211</v>
      </c>
      <c r="H69" s="123"/>
    </row>
    <row r="70" spans="1:8" ht="15.75" customHeight="1" thickBot="1">
      <c r="A70" s="130"/>
      <c r="B70" s="131"/>
      <c r="C70" s="204"/>
      <c r="D70" s="204"/>
      <c r="E70" s="204"/>
      <c r="F70" s="132"/>
      <c r="G70" s="215"/>
      <c r="H70" s="123"/>
    </row>
    <row r="71" spans="1:8" ht="17.25" thickBot="1" thickTop="1">
      <c r="A71" s="141" t="s">
        <v>14</v>
      </c>
      <c r="B71" s="142"/>
      <c r="C71" s="206">
        <f>SUM(C65:C70)</f>
        <v>59737540</v>
      </c>
      <c r="D71" s="206">
        <f>SUM(D65:D70)</f>
        <v>12006827</v>
      </c>
      <c r="E71" s="206">
        <f>SUM(E65:E70)</f>
        <v>12921040.54</v>
      </c>
      <c r="F71" s="143">
        <f>(+D71-E71)/E71</f>
        <v>-0.07075386360485787</v>
      </c>
      <c r="G71" s="217">
        <f>D71/C71</f>
        <v>0.20099299368537774</v>
      </c>
      <c r="H71" s="123"/>
    </row>
    <row r="72" spans="1:8" ht="15.75" customHeight="1" thickTop="1">
      <c r="A72" s="138"/>
      <c r="B72" s="139"/>
      <c r="C72" s="205"/>
      <c r="D72" s="205"/>
      <c r="E72" s="205"/>
      <c r="F72" s="140"/>
      <c r="G72" s="216"/>
      <c r="H72" s="123"/>
    </row>
    <row r="73" spans="1:8" ht="15.75">
      <c r="A73" s="130" t="s">
        <v>18</v>
      </c>
      <c r="B73" s="131">
        <f>DATE(2014,7,1)</f>
        <v>41821</v>
      </c>
      <c r="C73" s="204">
        <v>8409590</v>
      </c>
      <c r="D73" s="204">
        <v>1710881</v>
      </c>
      <c r="E73" s="204">
        <v>2139547</v>
      </c>
      <c r="F73" s="132">
        <f>(+D73-E73)/E73</f>
        <v>-0.2003536262582687</v>
      </c>
      <c r="G73" s="215">
        <f>D73/C73</f>
        <v>0.2034440442399689</v>
      </c>
      <c r="H73" s="123"/>
    </row>
    <row r="74" spans="1:8" ht="15.75">
      <c r="A74" s="130"/>
      <c r="B74" s="131">
        <f>DATE(2014,8,1)</f>
        <v>41852</v>
      </c>
      <c r="C74" s="204">
        <v>8842004</v>
      </c>
      <c r="D74" s="204">
        <v>2016444</v>
      </c>
      <c r="E74" s="204">
        <v>1918123.5</v>
      </c>
      <c r="F74" s="132">
        <f>(+D74-E74)/E74</f>
        <v>0.0512586911113909</v>
      </c>
      <c r="G74" s="215">
        <f>D74/C74</f>
        <v>0.22805282603355528</v>
      </c>
      <c r="H74" s="123"/>
    </row>
    <row r="75" spans="1:8" ht="15.75">
      <c r="A75" s="130"/>
      <c r="B75" s="131">
        <f>DATE(2014,9,1)</f>
        <v>41883</v>
      </c>
      <c r="C75" s="204">
        <v>8323348.5</v>
      </c>
      <c r="D75" s="204">
        <v>1741477</v>
      </c>
      <c r="E75" s="204">
        <v>1434018</v>
      </c>
      <c r="F75" s="132">
        <f>(+D75-E75)/E75</f>
        <v>0.21440386382876644</v>
      </c>
      <c r="G75" s="215">
        <f>D75/C75</f>
        <v>0.20922793272443177</v>
      </c>
      <c r="H75" s="123"/>
    </row>
    <row r="76" spans="1:8" ht="15.75">
      <c r="A76" s="130"/>
      <c r="B76" s="131">
        <f>DATE(2014,10,1)</f>
        <v>41913</v>
      </c>
      <c r="C76" s="204">
        <v>8462735</v>
      </c>
      <c r="D76" s="204">
        <v>2135188.5</v>
      </c>
      <c r="E76" s="204">
        <v>1987279.5</v>
      </c>
      <c r="F76" s="132">
        <f>(+D76-E76)/E76</f>
        <v>0.07442787992328205</v>
      </c>
      <c r="G76" s="215">
        <f>D76/C76</f>
        <v>0.25230478090120984</v>
      </c>
      <c r="H76" s="123"/>
    </row>
    <row r="77" spans="1:8" ht="15.75">
      <c r="A77" s="130"/>
      <c r="B77" s="131">
        <f>DATE(2014,11,1)</f>
        <v>41944</v>
      </c>
      <c r="C77" s="204">
        <v>8439358</v>
      </c>
      <c r="D77" s="204">
        <v>2079297.5</v>
      </c>
      <c r="E77" s="204">
        <v>1974557.5</v>
      </c>
      <c r="F77" s="132">
        <f>(+D77-E77)/E77</f>
        <v>0.053044796112546734</v>
      </c>
      <c r="G77" s="215">
        <f>D77/C77</f>
        <v>0.24638100433705976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SUM(C73:C78)</f>
        <v>42477035.5</v>
      </c>
      <c r="D79" s="206">
        <f>SUM(D73:D78)</f>
        <v>9683288</v>
      </c>
      <c r="E79" s="206">
        <f>SUM(E73:E78)</f>
        <v>9453525.5</v>
      </c>
      <c r="F79" s="143">
        <f>(+D79-E79)/E79</f>
        <v>0.024304424841293335</v>
      </c>
      <c r="G79" s="217">
        <f>D79/C79</f>
        <v>0.22796524959939823</v>
      </c>
      <c r="H79" s="123"/>
    </row>
    <row r="80" spans="1:8" ht="15.75" customHeight="1" thickTop="1">
      <c r="A80" s="138"/>
      <c r="B80" s="139"/>
      <c r="C80" s="205"/>
      <c r="D80" s="205"/>
      <c r="E80" s="205"/>
      <c r="F80" s="140"/>
      <c r="G80" s="216"/>
      <c r="H80" s="123"/>
    </row>
    <row r="81" spans="1:8" ht="15.75">
      <c r="A81" s="130" t="s">
        <v>58</v>
      </c>
      <c r="B81" s="131">
        <f>DATE(2014,7,1)</f>
        <v>41821</v>
      </c>
      <c r="C81" s="204">
        <v>8964729</v>
      </c>
      <c r="D81" s="204">
        <v>1919455.5</v>
      </c>
      <c r="E81" s="204">
        <v>1531315.5</v>
      </c>
      <c r="F81" s="132">
        <f>(+D81-E81)/E81</f>
        <v>0.2534683414358439</v>
      </c>
      <c r="G81" s="215">
        <f>D81/C81</f>
        <v>0.21411193801842754</v>
      </c>
      <c r="H81" s="123"/>
    </row>
    <row r="82" spans="1:8" ht="15.75">
      <c r="A82" s="130"/>
      <c r="B82" s="131">
        <f>DATE(2014,8,1)</f>
        <v>41852</v>
      </c>
      <c r="C82" s="204">
        <v>9092674</v>
      </c>
      <c r="D82" s="204">
        <v>1923950.5</v>
      </c>
      <c r="E82" s="204">
        <v>1844528.75</v>
      </c>
      <c r="F82" s="132">
        <f>(+D82-E82)/E82</f>
        <v>0.0430580168511876</v>
      </c>
      <c r="G82" s="215">
        <f>D82/C82</f>
        <v>0.21159347624252228</v>
      </c>
      <c r="H82" s="123"/>
    </row>
    <row r="83" spans="1:8" ht="15.75">
      <c r="A83" s="130"/>
      <c r="B83" s="131">
        <f>DATE(2014,9,1)</f>
        <v>41883</v>
      </c>
      <c r="C83" s="204">
        <v>8203052.5</v>
      </c>
      <c r="D83" s="204">
        <v>2150849.5</v>
      </c>
      <c r="E83" s="204">
        <v>1674570</v>
      </c>
      <c r="F83" s="132">
        <f>(+D83-E83)/E83</f>
        <v>0.2844189851723129</v>
      </c>
      <c r="G83" s="215">
        <f>D83/C83</f>
        <v>0.26220111354888925</v>
      </c>
      <c r="H83" s="123"/>
    </row>
    <row r="84" spans="1:8" ht="15.75">
      <c r="A84" s="130"/>
      <c r="B84" s="131">
        <f>DATE(2014,10,1)</f>
        <v>41913</v>
      </c>
      <c r="C84" s="204">
        <v>8717437</v>
      </c>
      <c r="D84" s="204">
        <v>1663467.5</v>
      </c>
      <c r="E84" s="204">
        <v>1767609</v>
      </c>
      <c r="F84" s="132">
        <f>(+D84-E84)/E84</f>
        <v>-0.058916592979556</v>
      </c>
      <c r="G84" s="215">
        <f>D84/C84</f>
        <v>0.19082070796726147</v>
      </c>
      <c r="H84" s="123"/>
    </row>
    <row r="85" spans="1:8" ht="15.75">
      <c r="A85" s="130"/>
      <c r="B85" s="131">
        <f>DATE(2014,11,1)</f>
        <v>41944</v>
      </c>
      <c r="C85" s="204">
        <v>9424547</v>
      </c>
      <c r="D85" s="204">
        <v>1875197.5</v>
      </c>
      <c r="E85" s="204">
        <v>2709472</v>
      </c>
      <c r="F85" s="132">
        <f>(+D85-E85)/E85</f>
        <v>-0.3079103603949404</v>
      </c>
      <c r="G85" s="215">
        <f>D85/C85</f>
        <v>0.19896951015258346</v>
      </c>
      <c r="H85" s="123"/>
    </row>
    <row r="86" spans="1:8" ht="15.75" thickBot="1">
      <c r="A86" s="133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7">
        <f>SUM(C81:C86)</f>
        <v>44402439.5</v>
      </c>
      <c r="D87" s="207">
        <f>SUM(D81:D86)</f>
        <v>9532920.5</v>
      </c>
      <c r="E87" s="207">
        <f>SUM(E81:E86)</f>
        <v>9527495.25</v>
      </c>
      <c r="F87" s="143">
        <f>(+D87-E87)/E87</f>
        <v>0.0005694308795378303</v>
      </c>
      <c r="G87" s="269">
        <f>D87/C87</f>
        <v>0.21469362060613809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9"/>
      <c r="H88" s="123"/>
    </row>
    <row r="89" spans="1:8" ht="15.75">
      <c r="A89" s="130" t="s">
        <v>59</v>
      </c>
      <c r="B89" s="131">
        <f>DATE(2014,7,1)</f>
        <v>41821</v>
      </c>
      <c r="C89" s="204">
        <v>854553</v>
      </c>
      <c r="D89" s="204">
        <v>194050.5</v>
      </c>
      <c r="E89" s="204">
        <v>203697.5</v>
      </c>
      <c r="F89" s="132">
        <f>(+D89-E89)/E89</f>
        <v>-0.04735944231028854</v>
      </c>
      <c r="G89" s="215">
        <f>D89/C89</f>
        <v>0.22707836728675693</v>
      </c>
      <c r="H89" s="123"/>
    </row>
    <row r="90" spans="1:8" ht="15.75">
      <c r="A90" s="130"/>
      <c r="B90" s="131">
        <f>DATE(2014,8,1)</f>
        <v>41852</v>
      </c>
      <c r="C90" s="204">
        <v>910042</v>
      </c>
      <c r="D90" s="204">
        <v>244997</v>
      </c>
      <c r="E90" s="204">
        <v>190431</v>
      </c>
      <c r="F90" s="132">
        <f>(+D90-E90)/E90</f>
        <v>0.286539481491984</v>
      </c>
      <c r="G90" s="215">
        <f>D90/C90</f>
        <v>0.2692150472176009</v>
      </c>
      <c r="H90" s="123"/>
    </row>
    <row r="91" spans="1:8" ht="15.75">
      <c r="A91" s="130"/>
      <c r="B91" s="131">
        <f>DATE(2014,9,1)</f>
        <v>41883</v>
      </c>
      <c r="C91" s="204">
        <v>859592</v>
      </c>
      <c r="D91" s="204">
        <v>142249.5</v>
      </c>
      <c r="E91" s="204">
        <v>231071.5</v>
      </c>
      <c r="F91" s="132">
        <f>(+D91-E91)/E91</f>
        <v>-0.38439184408289206</v>
      </c>
      <c r="G91" s="215">
        <f>D91/C91</f>
        <v>0.16548490446630496</v>
      </c>
      <c r="H91" s="123"/>
    </row>
    <row r="92" spans="1:8" ht="15.75">
      <c r="A92" s="130"/>
      <c r="B92" s="131">
        <f>DATE(2014,10,1)</f>
        <v>41913</v>
      </c>
      <c r="C92" s="204">
        <v>979922</v>
      </c>
      <c r="D92" s="204">
        <v>203528</v>
      </c>
      <c r="E92" s="204">
        <v>208717.5</v>
      </c>
      <c r="F92" s="132">
        <f>(+D92-E92)/E92</f>
        <v>-0.024863751242708447</v>
      </c>
      <c r="G92" s="215">
        <f>D92/C92</f>
        <v>0.20769816373139902</v>
      </c>
      <c r="H92" s="123"/>
    </row>
    <row r="93" spans="1:8" ht="15.75">
      <c r="A93" s="130"/>
      <c r="B93" s="131">
        <f>DATE(2014,11,1)</f>
        <v>41944</v>
      </c>
      <c r="C93" s="204">
        <v>943248</v>
      </c>
      <c r="D93" s="204">
        <v>229154.5</v>
      </c>
      <c r="E93" s="204">
        <v>270575</v>
      </c>
      <c r="F93" s="132">
        <f>(+D93-E93)/E93</f>
        <v>-0.1530832486371616</v>
      </c>
      <c r="G93" s="215">
        <f>D93/C93</f>
        <v>0.24294194103777586</v>
      </c>
      <c r="H93" s="123"/>
    </row>
    <row r="94" spans="1:8" ht="15.75" thickBot="1">
      <c r="A94" s="133"/>
      <c r="B94" s="134"/>
      <c r="C94" s="204"/>
      <c r="D94" s="204"/>
      <c r="E94" s="204"/>
      <c r="F94" s="132"/>
      <c r="G94" s="215"/>
      <c r="H94" s="123"/>
    </row>
    <row r="95" spans="1:8" ht="17.25" thickBot="1" thickTop="1">
      <c r="A95" s="144" t="s">
        <v>14</v>
      </c>
      <c r="B95" s="145"/>
      <c r="C95" s="207">
        <f>SUM(C89:C94)</f>
        <v>4547357</v>
      </c>
      <c r="D95" s="207">
        <f>SUM(D89:D94)</f>
        <v>1013979.5</v>
      </c>
      <c r="E95" s="207">
        <f>SUM(E89:E94)</f>
        <v>1104492.5</v>
      </c>
      <c r="F95" s="143">
        <f>(+D95-E95)/E95</f>
        <v>-0.08194985479756539</v>
      </c>
      <c r="G95" s="217">
        <f>D95/C95</f>
        <v>0.22298216304547894</v>
      </c>
      <c r="H95" s="123"/>
    </row>
    <row r="96" spans="1:8" ht="15.75" customHeight="1" thickTop="1">
      <c r="A96" s="130"/>
      <c r="B96" s="134"/>
      <c r="C96" s="204"/>
      <c r="D96" s="204"/>
      <c r="E96" s="204"/>
      <c r="F96" s="132"/>
      <c r="G96" s="218"/>
      <c r="H96" s="123"/>
    </row>
    <row r="97" spans="1:8" ht="15.75">
      <c r="A97" s="130" t="s">
        <v>40</v>
      </c>
      <c r="B97" s="131">
        <f>DATE(2014,7,1)</f>
        <v>41821</v>
      </c>
      <c r="C97" s="204">
        <v>12198935</v>
      </c>
      <c r="D97" s="204">
        <v>2630944</v>
      </c>
      <c r="E97" s="204">
        <v>2227589.5</v>
      </c>
      <c r="F97" s="132">
        <f>(+D97-E97)/E97</f>
        <v>0.18107218587625773</v>
      </c>
      <c r="G97" s="215">
        <f>D97/C97</f>
        <v>0.21566997446908276</v>
      </c>
      <c r="H97" s="123"/>
    </row>
    <row r="98" spans="1:8" ht="15.75">
      <c r="A98" s="130"/>
      <c r="B98" s="131">
        <f>DATE(2014,8,1)</f>
        <v>41852</v>
      </c>
      <c r="C98" s="204">
        <v>13151605</v>
      </c>
      <c r="D98" s="204">
        <v>2671558</v>
      </c>
      <c r="E98" s="204">
        <v>2324049.9</v>
      </c>
      <c r="F98" s="132">
        <f>(+D98-E98)/E98</f>
        <v>0.1495269529281622</v>
      </c>
      <c r="G98" s="215">
        <f>D98/C98</f>
        <v>0.20313551083689024</v>
      </c>
      <c r="H98" s="123"/>
    </row>
    <row r="99" spans="1:8" ht="15.75">
      <c r="A99" s="130"/>
      <c r="B99" s="131">
        <f>DATE(2014,9,1)</f>
        <v>41883</v>
      </c>
      <c r="C99" s="204">
        <v>12494088</v>
      </c>
      <c r="D99" s="204">
        <v>2695451</v>
      </c>
      <c r="E99" s="204">
        <v>1889804.5</v>
      </c>
      <c r="F99" s="132">
        <f>(+D99-E99)/E99</f>
        <v>0.42631208677934673</v>
      </c>
      <c r="G99" s="215">
        <f>D99/C99</f>
        <v>0.21573811549910646</v>
      </c>
      <c r="H99" s="123"/>
    </row>
    <row r="100" spans="1:8" ht="15.75">
      <c r="A100" s="130"/>
      <c r="B100" s="131">
        <f>DATE(2014,10,1)</f>
        <v>41913</v>
      </c>
      <c r="C100" s="204">
        <v>15034530</v>
      </c>
      <c r="D100" s="204">
        <v>2840403</v>
      </c>
      <c r="E100" s="204">
        <v>1892475</v>
      </c>
      <c r="F100" s="132">
        <f>(+D100-E100)/E100</f>
        <v>0.5008932746799826</v>
      </c>
      <c r="G100" s="215">
        <f>D100/C100</f>
        <v>0.1889252939732735</v>
      </c>
      <c r="H100" s="123"/>
    </row>
    <row r="101" spans="1:8" ht="15.75">
      <c r="A101" s="130"/>
      <c r="B101" s="131">
        <f>DATE(2014,11,1)</f>
        <v>41944</v>
      </c>
      <c r="C101" s="204">
        <v>12989637</v>
      </c>
      <c r="D101" s="204">
        <v>2781702</v>
      </c>
      <c r="E101" s="204">
        <v>2298940</v>
      </c>
      <c r="F101" s="132">
        <f>(+D101-E101)/E101</f>
        <v>0.20999330126058097</v>
      </c>
      <c r="G101" s="215">
        <f>D101/C101</f>
        <v>0.21414778565405637</v>
      </c>
      <c r="H101" s="123"/>
    </row>
    <row r="102" spans="1:8" ht="15.75" thickBot="1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Bot="1" thickTop="1">
      <c r="A103" s="141" t="s">
        <v>14</v>
      </c>
      <c r="B103" s="142"/>
      <c r="C103" s="206">
        <f>SUM(C97:C102)</f>
        <v>65868795</v>
      </c>
      <c r="D103" s="207">
        <f>SUM(D97:D102)</f>
        <v>13620058</v>
      </c>
      <c r="E103" s="206">
        <f>SUM(E97:E102)</f>
        <v>10632858.9</v>
      </c>
      <c r="F103" s="143">
        <f>(+D103-E103)/E103</f>
        <v>0.2809403499184965</v>
      </c>
      <c r="G103" s="217">
        <f>D103/C103</f>
        <v>0.206775575596912</v>
      </c>
      <c r="H103" s="123"/>
    </row>
    <row r="104" spans="1:8" ht="15.75" customHeight="1" thickTop="1">
      <c r="A104" s="130"/>
      <c r="B104" s="134"/>
      <c r="C104" s="204"/>
      <c r="D104" s="204"/>
      <c r="E104" s="204"/>
      <c r="F104" s="132"/>
      <c r="G104" s="218"/>
      <c r="H104" s="123"/>
    </row>
    <row r="105" spans="1:8" ht="15.75">
      <c r="A105" s="130" t="s">
        <v>64</v>
      </c>
      <c r="B105" s="131">
        <f>DATE(2014,7,1)</f>
        <v>41821</v>
      </c>
      <c r="C105" s="204">
        <v>981132</v>
      </c>
      <c r="D105" s="204">
        <v>209226.5</v>
      </c>
      <c r="E105" s="204">
        <v>163354</v>
      </c>
      <c r="F105" s="132">
        <f>(+D105-E105)/E105</f>
        <v>0.28081650893152293</v>
      </c>
      <c r="G105" s="215">
        <f>D105/C105</f>
        <v>0.2132501029423156</v>
      </c>
      <c r="H105" s="123"/>
    </row>
    <row r="106" spans="1:8" ht="15.75">
      <c r="A106" s="130"/>
      <c r="B106" s="131">
        <f>DATE(2014,8,1)</f>
        <v>41852</v>
      </c>
      <c r="C106" s="204">
        <v>1032541</v>
      </c>
      <c r="D106" s="204">
        <v>218501</v>
      </c>
      <c r="E106" s="204">
        <v>222733.5</v>
      </c>
      <c r="F106" s="132">
        <f>(+D106-E106)/E106</f>
        <v>-0.019002529929265242</v>
      </c>
      <c r="G106" s="215">
        <f>D106/C106</f>
        <v>0.2116148414445528</v>
      </c>
      <c r="H106" s="123"/>
    </row>
    <row r="107" spans="1:8" ht="15.75">
      <c r="A107" s="130"/>
      <c r="B107" s="131">
        <f>DATE(2014,9,1)</f>
        <v>41883</v>
      </c>
      <c r="C107" s="204">
        <v>961308</v>
      </c>
      <c r="D107" s="204">
        <v>191716</v>
      </c>
      <c r="E107" s="204">
        <v>198230</v>
      </c>
      <c r="F107" s="132">
        <f>(+D107-E107)/E107</f>
        <v>-0.03286081824143672</v>
      </c>
      <c r="G107" s="215">
        <f>D107/C107</f>
        <v>0.19943243996721133</v>
      </c>
      <c r="H107" s="123"/>
    </row>
    <row r="108" spans="1:8" ht="15.75">
      <c r="A108" s="130"/>
      <c r="B108" s="131">
        <f>DATE(2014,10,1)</f>
        <v>41913</v>
      </c>
      <c r="C108" s="204">
        <v>961001</v>
      </c>
      <c r="D108" s="204">
        <v>199376.5</v>
      </c>
      <c r="E108" s="204">
        <v>206944</v>
      </c>
      <c r="F108" s="132">
        <f>(+D108-E108)/E108</f>
        <v>-0.03656786376990877</v>
      </c>
      <c r="G108" s="215">
        <f>D108/C108</f>
        <v>0.20746752604836</v>
      </c>
      <c r="H108" s="123"/>
    </row>
    <row r="109" spans="1:8" ht="15.75">
      <c r="A109" s="130"/>
      <c r="B109" s="131">
        <f>DATE(2014,11,1)</f>
        <v>41944</v>
      </c>
      <c r="C109" s="204">
        <v>1045053</v>
      </c>
      <c r="D109" s="204">
        <v>212572.5</v>
      </c>
      <c r="E109" s="204">
        <v>185684.5</v>
      </c>
      <c r="F109" s="132">
        <f>(+D109-E109)/E109</f>
        <v>0.14480476291774488</v>
      </c>
      <c r="G109" s="215">
        <f>D109/C109</f>
        <v>0.20340834388303752</v>
      </c>
      <c r="H109" s="123"/>
    </row>
    <row r="110" spans="1:8" ht="15.75" thickBot="1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Bot="1" thickTop="1">
      <c r="A111" s="135" t="s">
        <v>14</v>
      </c>
      <c r="B111" s="136"/>
      <c r="C111" s="201">
        <f>SUM(C105:C110)</f>
        <v>4981035</v>
      </c>
      <c r="D111" s="207">
        <f>SUM(D105:D110)</f>
        <v>1031392.5</v>
      </c>
      <c r="E111" s="207">
        <f>SUM(E105:E110)</f>
        <v>976946</v>
      </c>
      <c r="F111" s="143">
        <f>(+D111-E111)/E111</f>
        <v>0.055731330083750794</v>
      </c>
      <c r="G111" s="217">
        <f>D111/C111</f>
        <v>0.20706389334746694</v>
      </c>
      <c r="H111" s="123"/>
    </row>
    <row r="112" spans="1:8" ht="16.5" thickBot="1" thickTop="1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Bot="1" thickTop="1">
      <c r="A113" s="147" t="s">
        <v>41</v>
      </c>
      <c r="B113" s="121"/>
      <c r="C113" s="201">
        <f>C111+C103+C79+C63+C47+C31+C15+C39+C95+C23+C71+C87+C55</f>
        <v>418154453.87</v>
      </c>
      <c r="D113" s="201">
        <f>D111+D103+D79+D63+D47+D31+D15+D39+D95+D23+D71+D87+D55</f>
        <v>88096184.37</v>
      </c>
      <c r="E113" s="201">
        <f>E111+E103+E79+E63+E47+E31+E15+E39+E95+E23+E71+E87+E55</f>
        <v>85841279.06</v>
      </c>
      <c r="F113" s="137">
        <f>(+D113-E113)/E113</f>
        <v>0.02626830977697692</v>
      </c>
      <c r="G113" s="212">
        <f>D113/C113</f>
        <v>0.21067857475790086</v>
      </c>
      <c r="H113" s="123"/>
    </row>
    <row r="114" spans="1:8" ht="17.25" thickBot="1" thickTop="1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Bot="1" thickTop="1">
      <c r="A115" s="267" t="s">
        <v>42</v>
      </c>
      <c r="B115" s="268"/>
      <c r="C115" s="206">
        <f>+C13+C21+C29+C37+C45+C53+C61+C69+C77+C85+C93+C101+C109</f>
        <v>83065204</v>
      </c>
      <c r="D115" s="206">
        <f>+D13+D21+D29+D37+D45+D53+D61+D69+D77+D85+D93+D101+D109</f>
        <v>17730758.259999998</v>
      </c>
      <c r="E115" s="206">
        <f>+E13+E21+E29+E37+E45+E53+E61+E69+E77+E85+E93+E101+E109</f>
        <v>17718703.17</v>
      </c>
      <c r="F115" s="143">
        <f>(+D115-E115)/E115</f>
        <v>0.0006803596112161816</v>
      </c>
      <c r="G115" s="217">
        <f>D115/C115</f>
        <v>0.21345590459273414</v>
      </c>
      <c r="H115" s="123"/>
    </row>
    <row r="116" spans="1:8" ht="16.5" thickTop="1">
      <c r="A116" s="256"/>
      <c r="B116" s="258"/>
      <c r="C116" s="259"/>
      <c r="D116" s="259"/>
      <c r="E116" s="259"/>
      <c r="F116" s="260"/>
      <c r="G116" s="257"/>
      <c r="H116" s="257"/>
    </row>
    <row r="117" spans="1:18" s="3" customFormat="1" ht="15.75">
      <c r="A117" s="256" t="s">
        <v>70</v>
      </c>
      <c r="B117" s="258"/>
      <c r="C117" s="259"/>
      <c r="D117" s="259"/>
      <c r="E117" s="259"/>
      <c r="F117" s="260"/>
      <c r="G117" s="257"/>
      <c r="H117" s="257"/>
      <c r="I117" s="261"/>
      <c r="J117" s="261"/>
      <c r="K117" s="262"/>
      <c r="L117" s="262"/>
      <c r="M117" s="261"/>
      <c r="R117" s="2"/>
    </row>
    <row r="118" spans="1:7" ht="18.75">
      <c r="A118" s="265" t="s">
        <v>43</v>
      </c>
      <c r="B118" s="117"/>
      <c r="C118" s="208"/>
      <c r="D118" s="208"/>
      <c r="E118" s="208"/>
      <c r="F118" s="148"/>
      <c r="G118" s="220"/>
    </row>
    <row r="119" ht="15.75">
      <c r="A119" s="7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4" r:id="rId1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8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9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DATE(14,7,1)</f>
        <v>5296</v>
      </c>
      <c r="C10" s="226">
        <v>104944664.54</v>
      </c>
      <c r="D10" s="226">
        <v>10257059.81</v>
      </c>
      <c r="E10" s="226">
        <v>11572743.44</v>
      </c>
      <c r="F10" s="166">
        <f>(+D10-E10)/E10</f>
        <v>-0.1136881359913738</v>
      </c>
      <c r="G10" s="241">
        <f>D10/C10</f>
        <v>0.09773779214940925</v>
      </c>
      <c r="H10" s="242">
        <f>1-G10</f>
        <v>0.9022622078505907</v>
      </c>
      <c r="I10" s="157"/>
    </row>
    <row r="11" spans="1:9" ht="15.75">
      <c r="A11" s="164"/>
      <c r="B11" s="165">
        <f>DATE(14,8,1)</f>
        <v>5327</v>
      </c>
      <c r="C11" s="226">
        <v>109819409.27</v>
      </c>
      <c r="D11" s="226">
        <v>11078022.28</v>
      </c>
      <c r="E11" s="226">
        <v>11606101.87</v>
      </c>
      <c r="F11" s="166">
        <f>(+D11-E11)/E11</f>
        <v>-0.04550016843855256</v>
      </c>
      <c r="G11" s="241">
        <f>D11/C11</f>
        <v>0.10087490320371124</v>
      </c>
      <c r="H11" s="242">
        <f>1-G11</f>
        <v>0.8991250967962887</v>
      </c>
      <c r="I11" s="157"/>
    </row>
    <row r="12" spans="1:9" ht="15.75">
      <c r="A12" s="164"/>
      <c r="B12" s="165">
        <f>DATE(14,9,1)</f>
        <v>5358</v>
      </c>
      <c r="C12" s="226">
        <v>101276217.74</v>
      </c>
      <c r="D12" s="226">
        <v>9537974.07</v>
      </c>
      <c r="E12" s="226">
        <v>10314286.07</v>
      </c>
      <c r="F12" s="166">
        <f>(+D12-E12)/E12</f>
        <v>-0.07526570377546257</v>
      </c>
      <c r="G12" s="241">
        <f>D12/C12</f>
        <v>0.09417782657016513</v>
      </c>
      <c r="H12" s="242">
        <f>1-G12</f>
        <v>0.9058221734298348</v>
      </c>
      <c r="I12" s="157"/>
    </row>
    <row r="13" spans="1:9" ht="15.75">
      <c r="A13" s="164"/>
      <c r="B13" s="165">
        <f>DATE(14,10,1)</f>
        <v>5388</v>
      </c>
      <c r="C13" s="226">
        <v>109155119.66</v>
      </c>
      <c r="D13" s="226">
        <v>10436933.78</v>
      </c>
      <c r="E13" s="226">
        <v>10199198.41</v>
      </c>
      <c r="F13" s="166">
        <f>(+D13-E13)/E13</f>
        <v>0.023309221023380323</v>
      </c>
      <c r="G13" s="241">
        <f>D13/C13</f>
        <v>0.09561561393097555</v>
      </c>
      <c r="H13" s="242">
        <f>1-G13</f>
        <v>0.9043843860690245</v>
      </c>
      <c r="I13" s="157"/>
    </row>
    <row r="14" spans="1:9" ht="15.75">
      <c r="A14" s="164"/>
      <c r="B14" s="165">
        <f>DATE(14,11,1)</f>
        <v>5419</v>
      </c>
      <c r="C14" s="226">
        <v>111943385.04</v>
      </c>
      <c r="D14" s="226">
        <v>10672606.66</v>
      </c>
      <c r="E14" s="226">
        <v>10668215.68</v>
      </c>
      <c r="F14" s="166">
        <f>(+D14-E14)/E14</f>
        <v>0.0004115946032317606</v>
      </c>
      <c r="G14" s="241">
        <f>D14/C14</f>
        <v>0.09533932403586355</v>
      </c>
      <c r="H14" s="242">
        <f>1-G14</f>
        <v>0.9046606759641365</v>
      </c>
      <c r="I14" s="157"/>
    </row>
    <row r="15" spans="1:9" ht="15.75" thickBot="1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Bot="1" thickTop="1">
      <c r="A16" s="169" t="s">
        <v>14</v>
      </c>
      <c r="B16" s="155"/>
      <c r="C16" s="223">
        <f>SUM(C10:C15)</f>
        <v>537138796.25</v>
      </c>
      <c r="D16" s="223">
        <f>SUM(D10:D15)</f>
        <v>51982596.599999994</v>
      </c>
      <c r="E16" s="223">
        <f>SUM(E10:E15)</f>
        <v>54360545.47</v>
      </c>
      <c r="F16" s="170">
        <f>(+D16-E16)/E16</f>
        <v>-0.04374402150383729</v>
      </c>
      <c r="G16" s="236">
        <f>D16/C16</f>
        <v>0.09677684234114749</v>
      </c>
      <c r="H16" s="237">
        <f>1-G16</f>
        <v>0.9032231576588525</v>
      </c>
      <c r="I16" s="157"/>
    </row>
    <row r="17" spans="1:9" ht="15.7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>
      <c r="A18" s="19" t="s">
        <v>51</v>
      </c>
      <c r="B18" s="165">
        <f>DATE(14,7,1)</f>
        <v>5296</v>
      </c>
      <c r="C18" s="226">
        <v>72786711.96</v>
      </c>
      <c r="D18" s="226">
        <v>6282867.11</v>
      </c>
      <c r="E18" s="226">
        <v>5989524.29</v>
      </c>
      <c r="F18" s="166">
        <f>(+D18-E18)/E18</f>
        <v>0.04897597969337233</v>
      </c>
      <c r="G18" s="241">
        <f>D18/C18</f>
        <v>0.08631887525641707</v>
      </c>
      <c r="H18" s="242">
        <f>1-G18</f>
        <v>0.913681124743583</v>
      </c>
      <c r="I18" s="157"/>
    </row>
    <row r="19" spans="1:9" ht="15.75">
      <c r="A19" s="19"/>
      <c r="B19" s="165">
        <f>DATE(14,8,1)</f>
        <v>5327</v>
      </c>
      <c r="C19" s="226">
        <v>75955587.43</v>
      </c>
      <c r="D19" s="226">
        <v>6628156.87</v>
      </c>
      <c r="E19" s="226">
        <v>6567672.58</v>
      </c>
      <c r="F19" s="166">
        <f>(+D19-E19)/E19</f>
        <v>0.009209394844710733</v>
      </c>
      <c r="G19" s="241">
        <f>D19/C19</f>
        <v>0.0872635851326731</v>
      </c>
      <c r="H19" s="242">
        <f>1-G19</f>
        <v>0.9127364148673269</v>
      </c>
      <c r="I19" s="157"/>
    </row>
    <row r="20" spans="1:9" ht="15.75">
      <c r="A20" s="19"/>
      <c r="B20" s="165">
        <f>DATE(14,9,1)</f>
        <v>5358</v>
      </c>
      <c r="C20" s="226">
        <v>66867844.99</v>
      </c>
      <c r="D20" s="226">
        <v>6002003.73</v>
      </c>
      <c r="E20" s="226">
        <v>6163226.74</v>
      </c>
      <c r="F20" s="166">
        <f>(+D20-E20)/E20</f>
        <v>-0.026158863984939124</v>
      </c>
      <c r="G20" s="241">
        <f>D20/C20</f>
        <v>0.08975919189406496</v>
      </c>
      <c r="H20" s="242">
        <f>1-G20</f>
        <v>0.910240808105935</v>
      </c>
      <c r="I20" s="157"/>
    </row>
    <row r="21" spans="1:9" ht="15.75">
      <c r="A21" s="19"/>
      <c r="B21" s="165">
        <f>DATE(14,10,1)</f>
        <v>5388</v>
      </c>
      <c r="C21" s="226">
        <v>68787776.19</v>
      </c>
      <c r="D21" s="226">
        <v>5911302.22</v>
      </c>
      <c r="E21" s="226">
        <v>5687342.66</v>
      </c>
      <c r="F21" s="166">
        <f>(+D21-E21)/E21</f>
        <v>0.039378594431305036</v>
      </c>
      <c r="G21" s="241">
        <f>D21/C21</f>
        <v>0.08593535868454712</v>
      </c>
      <c r="H21" s="242">
        <f>1-G21</f>
        <v>0.9140646413154528</v>
      </c>
      <c r="I21" s="157"/>
    </row>
    <row r="22" spans="1:9" ht="15.75">
      <c r="A22" s="19"/>
      <c r="B22" s="165">
        <f>DATE(14,11,1)</f>
        <v>5419</v>
      </c>
      <c r="C22" s="226">
        <v>63342827.66</v>
      </c>
      <c r="D22" s="226">
        <v>5713594.45</v>
      </c>
      <c r="E22" s="226">
        <v>6197477.62</v>
      </c>
      <c r="F22" s="166">
        <f>(+D22-E22)/E22</f>
        <v>-0.07807743725260922</v>
      </c>
      <c r="G22" s="241">
        <f>D22/C22</f>
        <v>0.0902011271215801</v>
      </c>
      <c r="H22" s="242">
        <f>1-G22</f>
        <v>0.9097988728784199</v>
      </c>
      <c r="I22" s="157"/>
    </row>
    <row r="23" spans="1:9" ht="15.75" thickBot="1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Bot="1" thickTop="1">
      <c r="A24" s="169" t="s">
        <v>14</v>
      </c>
      <c r="B24" s="155"/>
      <c r="C24" s="223">
        <f>SUM(C18:C23)</f>
        <v>347740748.23</v>
      </c>
      <c r="D24" s="223">
        <f>SUM(D18:D23)</f>
        <v>30537924.38</v>
      </c>
      <c r="E24" s="223">
        <f>SUM(E18:E23)</f>
        <v>30605243.89</v>
      </c>
      <c r="F24" s="170">
        <f>(+D24-E24)/E24</f>
        <v>-0.0021996070425695157</v>
      </c>
      <c r="G24" s="236">
        <f>D24/C24</f>
        <v>0.08781807865611953</v>
      </c>
      <c r="H24" s="237">
        <f>1-G24</f>
        <v>0.9121819213438804</v>
      </c>
      <c r="I24" s="157"/>
    </row>
    <row r="25" spans="1:9" ht="15.75" thickTop="1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>
      <c r="A26" s="19" t="s">
        <v>60</v>
      </c>
      <c r="B26" s="165">
        <f>DATE(14,7,1)</f>
        <v>5296</v>
      </c>
      <c r="C26" s="226">
        <v>23885983.34</v>
      </c>
      <c r="D26" s="226">
        <v>2494578.8</v>
      </c>
      <c r="E26" s="226">
        <v>2470933.68</v>
      </c>
      <c r="F26" s="166">
        <f>(+D26-E26)/E26</f>
        <v>0.009569305801845578</v>
      </c>
      <c r="G26" s="241">
        <f>D26/C26</f>
        <v>0.10443693125342353</v>
      </c>
      <c r="H26" s="242">
        <f>1-G26</f>
        <v>0.8955630687465764</v>
      </c>
      <c r="I26" s="157"/>
    </row>
    <row r="27" spans="1:9" ht="15.75">
      <c r="A27" s="19"/>
      <c r="B27" s="165">
        <f>DATE(14,8,1)</f>
        <v>5327</v>
      </c>
      <c r="C27" s="226">
        <v>25331756.42</v>
      </c>
      <c r="D27" s="226">
        <v>2704944.47</v>
      </c>
      <c r="E27" s="226">
        <v>2466434.72</v>
      </c>
      <c r="F27" s="166">
        <f>(+D27-E27)/E27</f>
        <v>0.09670223503827419</v>
      </c>
      <c r="G27" s="241">
        <f>D27/C27</f>
        <v>0.1067807705534538</v>
      </c>
      <c r="H27" s="242">
        <f>1-G27</f>
        <v>0.8932192294465462</v>
      </c>
      <c r="I27" s="157"/>
    </row>
    <row r="28" spans="1:9" ht="15.75">
      <c r="A28" s="19"/>
      <c r="B28" s="165">
        <f>DATE(14,9,1)</f>
        <v>5358</v>
      </c>
      <c r="C28" s="226">
        <v>21496663.38</v>
      </c>
      <c r="D28" s="226">
        <v>2315066.28</v>
      </c>
      <c r="E28" s="226">
        <v>2199194.21</v>
      </c>
      <c r="F28" s="166">
        <f>(+D28-E28)/E28</f>
        <v>0.05268842081936903</v>
      </c>
      <c r="G28" s="241">
        <f>D28/C28</f>
        <v>0.10769421463583433</v>
      </c>
      <c r="H28" s="242">
        <f>1-G28</f>
        <v>0.8923057853641657</v>
      </c>
      <c r="I28" s="157"/>
    </row>
    <row r="29" spans="1:9" ht="15.75">
      <c r="A29" s="19"/>
      <c r="B29" s="165">
        <f>DATE(14,10,1)</f>
        <v>5388</v>
      </c>
      <c r="C29" s="226">
        <v>21913719.31</v>
      </c>
      <c r="D29" s="226">
        <v>2355316.74</v>
      </c>
      <c r="E29" s="226">
        <v>2044677.84</v>
      </c>
      <c r="F29" s="166">
        <f>(+D29-E29)/E29</f>
        <v>0.1519255962592132</v>
      </c>
      <c r="G29" s="241">
        <f>D29/C29</f>
        <v>0.10748137761010686</v>
      </c>
      <c r="H29" s="242">
        <f>1-G29</f>
        <v>0.8925186223898931</v>
      </c>
      <c r="I29" s="157"/>
    </row>
    <row r="30" spans="1:9" ht="15.75">
      <c r="A30" s="19"/>
      <c r="B30" s="165">
        <f>DATE(14,11,1)</f>
        <v>5419</v>
      </c>
      <c r="C30" s="226">
        <v>23634466.22</v>
      </c>
      <c r="D30" s="226">
        <v>2510185.21</v>
      </c>
      <c r="E30" s="226">
        <v>2169847.31</v>
      </c>
      <c r="F30" s="166">
        <f>(+D30-E30)/E30</f>
        <v>0.15684877845160447</v>
      </c>
      <c r="G30" s="241">
        <f>D30/C30</f>
        <v>0.10620866943361838</v>
      </c>
      <c r="H30" s="242">
        <f>1-G30</f>
        <v>0.8937913305663816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5"/>
      <c r="C32" s="228">
        <f>SUM(C26:C31)</f>
        <v>116262588.67</v>
      </c>
      <c r="D32" s="228">
        <f>SUM(D26:D31)</f>
        <v>12380091.5</v>
      </c>
      <c r="E32" s="228">
        <f>SUM(E26:E31)</f>
        <v>11351087.760000002</v>
      </c>
      <c r="F32" s="176">
        <f>(+D32-E32)/E32</f>
        <v>0.09065243452932287</v>
      </c>
      <c r="G32" s="245">
        <f>D32/C32</f>
        <v>0.10648387965229021</v>
      </c>
      <c r="H32" s="246">
        <f>1-G32</f>
        <v>0.8935161203477098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77" t="s">
        <v>67</v>
      </c>
      <c r="B34" s="165">
        <f>DATE(14,7,1)</f>
        <v>5296</v>
      </c>
      <c r="C34" s="226">
        <v>172113476.08</v>
      </c>
      <c r="D34" s="226">
        <v>16184336.72</v>
      </c>
      <c r="E34" s="226">
        <v>17835300.09</v>
      </c>
      <c r="F34" s="166">
        <f>(+D34-E34)/E34</f>
        <v>-0.09256717642366281</v>
      </c>
      <c r="G34" s="241">
        <f>D34/C34</f>
        <v>0.09403294319892397</v>
      </c>
      <c r="H34" s="242">
        <f>1-G34</f>
        <v>0.905967056801076</v>
      </c>
      <c r="I34" s="157"/>
    </row>
    <row r="35" spans="1:9" ht="15.75">
      <c r="A35" s="177"/>
      <c r="B35" s="165">
        <f>DATE(14,8,1)</f>
        <v>5327</v>
      </c>
      <c r="C35" s="226">
        <v>172329267.96</v>
      </c>
      <c r="D35" s="226">
        <v>16094086.53</v>
      </c>
      <c r="E35" s="226">
        <v>17319904.37</v>
      </c>
      <c r="F35" s="166">
        <f>(+D35-E35)/E35</f>
        <v>-0.07077509285347178</v>
      </c>
      <c r="G35" s="241">
        <f>D35/C35</f>
        <v>0.09339148666107987</v>
      </c>
      <c r="H35" s="242">
        <f>1-G35</f>
        <v>0.9066085133389201</v>
      </c>
      <c r="I35" s="157"/>
    </row>
    <row r="36" spans="1:9" ht="15.75">
      <c r="A36" s="177"/>
      <c r="B36" s="165">
        <f>DATE(14,9,1)</f>
        <v>5358</v>
      </c>
      <c r="C36" s="226">
        <v>154438510.02</v>
      </c>
      <c r="D36" s="226">
        <v>14708506.16</v>
      </c>
      <c r="E36" s="226">
        <v>15597210.9</v>
      </c>
      <c r="F36" s="166">
        <f>(+D36-E36)/E36</f>
        <v>-0.05697843965166876</v>
      </c>
      <c r="G36" s="241">
        <f>D36/C36</f>
        <v>0.09523859145037872</v>
      </c>
      <c r="H36" s="242">
        <f>1-G36</f>
        <v>0.9047614085496213</v>
      </c>
      <c r="I36" s="157"/>
    </row>
    <row r="37" spans="1:9" ht="15.75">
      <c r="A37" s="177"/>
      <c r="B37" s="165">
        <f>DATE(14,10,1)</f>
        <v>5388</v>
      </c>
      <c r="C37" s="226">
        <v>167656435.88</v>
      </c>
      <c r="D37" s="226">
        <v>15565717.96</v>
      </c>
      <c r="E37" s="226">
        <v>14804268.75</v>
      </c>
      <c r="F37" s="166">
        <f>(+D37-E37)/E37</f>
        <v>0.05143443576029386</v>
      </c>
      <c r="G37" s="241">
        <f>D37/C37</f>
        <v>0.09284294920322149</v>
      </c>
      <c r="H37" s="242">
        <f>1-G37</f>
        <v>0.9071570507967786</v>
      </c>
      <c r="I37" s="157"/>
    </row>
    <row r="38" spans="1:9" ht="15.75">
      <c r="A38" s="177"/>
      <c r="B38" s="165">
        <f>DATE(14,11,1)</f>
        <v>5419</v>
      </c>
      <c r="C38" s="226">
        <v>159448297.94</v>
      </c>
      <c r="D38" s="226">
        <v>14902890.81</v>
      </c>
      <c r="E38" s="226">
        <v>15166817.13</v>
      </c>
      <c r="F38" s="166">
        <f>(+D38-E38)/E38</f>
        <v>-0.01740156274963937</v>
      </c>
      <c r="G38" s="241">
        <f>D38/C38</f>
        <v>0.09346534897229146</v>
      </c>
      <c r="H38" s="242">
        <f>1-G38</f>
        <v>0.9065346510277086</v>
      </c>
      <c r="I38" s="157"/>
    </row>
    <row r="39" spans="1:9" ht="15.75" thickBot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Bot="1" thickTop="1">
      <c r="A40" s="174" t="s">
        <v>14</v>
      </c>
      <c r="B40" s="178"/>
      <c r="C40" s="228">
        <f>SUM(C34:C39)</f>
        <v>825985987.8800001</v>
      </c>
      <c r="D40" s="228">
        <f>SUM(D34:D39)</f>
        <v>77455538.17999999</v>
      </c>
      <c r="E40" s="228">
        <f>SUM(E34:E39)</f>
        <v>80723501.24</v>
      </c>
      <c r="F40" s="176">
        <f>(+D40-E40)/E40</f>
        <v>-0.040483415731485464</v>
      </c>
      <c r="G40" s="245">
        <f>D40/C40</f>
        <v>0.09377342874641209</v>
      </c>
      <c r="H40" s="246">
        <f>1-G40</f>
        <v>0.906226571253588</v>
      </c>
      <c r="I40" s="157"/>
    </row>
    <row r="41" spans="1:9" ht="15.75" thickTop="1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>
      <c r="A42" s="164" t="s">
        <v>16</v>
      </c>
      <c r="B42" s="165">
        <f>DATE(14,7,1)</f>
        <v>5296</v>
      </c>
      <c r="C42" s="226">
        <v>117913499.74</v>
      </c>
      <c r="D42" s="226">
        <v>11317531.22</v>
      </c>
      <c r="E42" s="226">
        <v>12102747.19</v>
      </c>
      <c r="F42" s="166">
        <f>(+D42-E42)/E42</f>
        <v>-0.06487915162342565</v>
      </c>
      <c r="G42" s="241">
        <f>D42/C42</f>
        <v>0.09598164116030164</v>
      </c>
      <c r="H42" s="242">
        <f>1-G42</f>
        <v>0.9040183588396984</v>
      </c>
      <c r="I42" s="157"/>
    </row>
    <row r="43" spans="1:9" ht="15.75">
      <c r="A43" s="164"/>
      <c r="B43" s="165">
        <f>DATE(14,8,1)</f>
        <v>5327</v>
      </c>
      <c r="C43" s="226">
        <v>128157405.69</v>
      </c>
      <c r="D43" s="226">
        <v>12087387.41</v>
      </c>
      <c r="E43" s="226">
        <v>12818955.17</v>
      </c>
      <c r="F43" s="166">
        <f>(+D43-E43)/E43</f>
        <v>-0.057069219004063323</v>
      </c>
      <c r="G43" s="241">
        <f>D43/C43</f>
        <v>0.0943167298442213</v>
      </c>
      <c r="H43" s="242">
        <f>1-G43</f>
        <v>0.9056832701557787</v>
      </c>
      <c r="I43" s="157"/>
    </row>
    <row r="44" spans="1:9" ht="15.75">
      <c r="A44" s="164"/>
      <c r="B44" s="165">
        <f>DATE(14,9,1)</f>
        <v>5358</v>
      </c>
      <c r="C44" s="226">
        <v>116272881.78</v>
      </c>
      <c r="D44" s="226">
        <v>11134793.77</v>
      </c>
      <c r="E44" s="226">
        <v>11559629.19</v>
      </c>
      <c r="F44" s="166">
        <f>(+D44-E44)/E44</f>
        <v>-0.03675164774035455</v>
      </c>
      <c r="G44" s="241">
        <f>D44/C44</f>
        <v>0.09576432268246478</v>
      </c>
      <c r="H44" s="242">
        <f>1-G44</f>
        <v>0.9042356773175352</v>
      </c>
      <c r="I44" s="157"/>
    </row>
    <row r="45" spans="1:9" ht="15.75">
      <c r="A45" s="164"/>
      <c r="B45" s="165">
        <f>DATE(14,10,1)</f>
        <v>5388</v>
      </c>
      <c r="C45" s="226">
        <v>123094224.28</v>
      </c>
      <c r="D45" s="226">
        <v>11239699.89</v>
      </c>
      <c r="E45" s="226">
        <v>12317052.53</v>
      </c>
      <c r="F45" s="166">
        <f>(+D45-E45)/E45</f>
        <v>-0.08746838071656733</v>
      </c>
      <c r="G45" s="241">
        <f>D45/C45</f>
        <v>0.09130972599033792</v>
      </c>
      <c r="H45" s="242">
        <f>1-G45</f>
        <v>0.9086902740096621</v>
      </c>
      <c r="I45" s="157"/>
    </row>
    <row r="46" spans="1:9" ht="15.75">
      <c r="A46" s="164"/>
      <c r="B46" s="165">
        <f>DATE(14,11,1)</f>
        <v>5419</v>
      </c>
      <c r="C46" s="226">
        <v>118607546.79</v>
      </c>
      <c r="D46" s="226">
        <v>10996815.12</v>
      </c>
      <c r="E46" s="226">
        <v>12363565.16</v>
      </c>
      <c r="F46" s="166">
        <f>(+D46-E46)/E46</f>
        <v>-0.11054659576849765</v>
      </c>
      <c r="G46" s="241">
        <f>D46/C46</f>
        <v>0.09271598155107579</v>
      </c>
      <c r="H46" s="242">
        <f>1-G46</f>
        <v>0.9072840184489243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SUM(C42:C47)</f>
        <v>604045558.28</v>
      </c>
      <c r="D48" s="230">
        <f>SUM(D42:D47)</f>
        <v>56776227.410000004</v>
      </c>
      <c r="E48" s="273">
        <f>SUM(E42:E47)</f>
        <v>61161949.239999995</v>
      </c>
      <c r="F48" s="274">
        <f>(+D48-E48)/E48</f>
        <v>-0.07170670465047446</v>
      </c>
      <c r="G48" s="249">
        <f>D48/C48</f>
        <v>0.09399328681708786</v>
      </c>
      <c r="H48" s="272">
        <f>1-G48</f>
        <v>0.9060067131829121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68</v>
      </c>
      <c r="B50" s="165">
        <f>DATE(14,7,1)</f>
        <v>5296</v>
      </c>
      <c r="C50" s="226">
        <v>46700410.2</v>
      </c>
      <c r="D50" s="226">
        <v>4630796.15</v>
      </c>
      <c r="E50" s="226">
        <v>4284425.39</v>
      </c>
      <c r="F50" s="166">
        <f>(+D50-E50)/E50</f>
        <v>0.08084415726049106</v>
      </c>
      <c r="G50" s="241">
        <f>D50/C50</f>
        <v>0.09915964613946796</v>
      </c>
      <c r="H50" s="242">
        <f>1-G50</f>
        <v>0.9008403538605321</v>
      </c>
      <c r="I50" s="157"/>
    </row>
    <row r="51" spans="1:9" ht="15.75">
      <c r="A51" s="164"/>
      <c r="B51" s="165">
        <f>DATE(14,8,1)</f>
        <v>5327</v>
      </c>
      <c r="C51" s="226">
        <v>51084267.97</v>
      </c>
      <c r="D51" s="226">
        <v>5028824.28</v>
      </c>
      <c r="E51" s="226">
        <v>4679283.96</v>
      </c>
      <c r="F51" s="166">
        <f>(+D51-E51)/E51</f>
        <v>0.07469953159243627</v>
      </c>
      <c r="G51" s="241">
        <f>D51/C51</f>
        <v>0.09844174106504282</v>
      </c>
      <c r="H51" s="242">
        <f>1-G51</f>
        <v>0.9015582589349572</v>
      </c>
      <c r="I51" s="157"/>
    </row>
    <row r="52" spans="1:9" ht="15.75">
      <c r="A52" s="164"/>
      <c r="B52" s="165">
        <f>DATE(14,9,1)</f>
        <v>5358</v>
      </c>
      <c r="C52" s="226">
        <v>41927140.99</v>
      </c>
      <c r="D52" s="226">
        <v>4179634.68</v>
      </c>
      <c r="E52" s="226">
        <v>4106556.6</v>
      </c>
      <c r="F52" s="166">
        <f>(+D52-E52)/E52</f>
        <v>0.01779546396608781</v>
      </c>
      <c r="G52" s="241">
        <f>D52/C52</f>
        <v>0.09968804410004681</v>
      </c>
      <c r="H52" s="242">
        <f>1-G52</f>
        <v>0.9003119558999532</v>
      </c>
      <c r="I52" s="157"/>
    </row>
    <row r="53" spans="1:9" ht="15.75">
      <c r="A53" s="164"/>
      <c r="B53" s="165">
        <f>DATE(14,10,1)</f>
        <v>5388</v>
      </c>
      <c r="C53" s="226">
        <v>45432033.25</v>
      </c>
      <c r="D53" s="226">
        <v>4484784.1</v>
      </c>
      <c r="E53" s="226">
        <v>3750005.7</v>
      </c>
      <c r="F53" s="166">
        <f>(+D53-E53)/E53</f>
        <v>0.1959406088369411</v>
      </c>
      <c r="G53" s="241">
        <f>D53/C53</f>
        <v>0.09871414020414769</v>
      </c>
      <c r="H53" s="242">
        <f>1-G53</f>
        <v>0.9012858597958523</v>
      </c>
      <c r="I53" s="157"/>
    </row>
    <row r="54" spans="1:9" ht="15.75">
      <c r="A54" s="164"/>
      <c r="B54" s="165">
        <f>DATE(14,11,1)</f>
        <v>5419</v>
      </c>
      <c r="C54" s="226">
        <v>46000802.68</v>
      </c>
      <c r="D54" s="226">
        <v>4434332.43</v>
      </c>
      <c r="E54" s="226">
        <v>4135894.29</v>
      </c>
      <c r="F54" s="166">
        <f>(+D54-E54)/E54</f>
        <v>0.07215806765699509</v>
      </c>
      <c r="G54" s="241">
        <f>D54/C54</f>
        <v>0.09639684900385308</v>
      </c>
      <c r="H54" s="242">
        <f>1-G54</f>
        <v>0.903603150996147</v>
      </c>
      <c r="I54" s="157"/>
    </row>
    <row r="55" spans="1:9" ht="15.7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SUM(C50:C55)</f>
        <v>231144655.09</v>
      </c>
      <c r="D56" s="230">
        <f>SUM(D50:D55)</f>
        <v>22758371.64</v>
      </c>
      <c r="E56" s="273">
        <f>SUM(E50:E55)</f>
        <v>20956165.939999998</v>
      </c>
      <c r="F56" s="274">
        <f>(+D56-E56)/E56</f>
        <v>0.08599882751262482</v>
      </c>
      <c r="G56" s="249">
        <f>D56/C56</f>
        <v>0.09845943282200773</v>
      </c>
      <c r="H56" s="272">
        <f>1-G56</f>
        <v>0.9015405671779922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17</v>
      </c>
      <c r="B58" s="165">
        <f>DATE(14,7,1)</f>
        <v>5296</v>
      </c>
      <c r="C58" s="226">
        <v>61551060.25</v>
      </c>
      <c r="D58" s="226">
        <v>6042752.33</v>
      </c>
      <c r="E58" s="226">
        <v>6162329.23</v>
      </c>
      <c r="F58" s="166">
        <f>(+D58-E58)/E58</f>
        <v>-0.019404497153100074</v>
      </c>
      <c r="G58" s="241">
        <f>D58/C58</f>
        <v>0.0981746261633243</v>
      </c>
      <c r="H58" s="242">
        <f>1-G58</f>
        <v>0.9018253738366757</v>
      </c>
      <c r="I58" s="157"/>
    </row>
    <row r="59" spans="1:9" ht="15.75">
      <c r="A59" s="164"/>
      <c r="B59" s="165">
        <f>DATE(14,8,1)</f>
        <v>5327</v>
      </c>
      <c r="C59" s="226">
        <v>61716291.51</v>
      </c>
      <c r="D59" s="226">
        <v>6053208.76</v>
      </c>
      <c r="E59" s="226">
        <v>6150694.94</v>
      </c>
      <c r="F59" s="166">
        <f>(+D59-E59)/E59</f>
        <v>-0.015849620400780376</v>
      </c>
      <c r="G59" s="241">
        <f>D59/C59</f>
        <v>0.09808121343485436</v>
      </c>
      <c r="H59" s="242">
        <f>1-G59</f>
        <v>0.9019187865651457</v>
      </c>
      <c r="I59" s="157"/>
    </row>
    <row r="60" spans="1:9" ht="15.75">
      <c r="A60" s="164"/>
      <c r="B60" s="165">
        <f>DATE(14,9,1)</f>
        <v>5358</v>
      </c>
      <c r="C60" s="226">
        <v>56572219.35</v>
      </c>
      <c r="D60" s="226">
        <v>5550911.7</v>
      </c>
      <c r="E60" s="226">
        <v>5751750.32</v>
      </c>
      <c r="F60" s="166">
        <f>(+D60-E60)/E60</f>
        <v>-0.03491782654432053</v>
      </c>
      <c r="G60" s="241">
        <f>D60/C60</f>
        <v>0.0981208049423997</v>
      </c>
      <c r="H60" s="242">
        <f>1-G60</f>
        <v>0.9018791950576003</v>
      </c>
      <c r="I60" s="157"/>
    </row>
    <row r="61" spans="1:9" ht="15.75">
      <c r="A61" s="164"/>
      <c r="B61" s="165">
        <f>DATE(14,10,1)</f>
        <v>5388</v>
      </c>
      <c r="C61" s="226">
        <v>58469922.3</v>
      </c>
      <c r="D61" s="226">
        <v>5944105.8</v>
      </c>
      <c r="E61" s="226">
        <v>5712648.26</v>
      </c>
      <c r="F61" s="166">
        <f>(+D61-E61)/E61</f>
        <v>0.04051667973690368</v>
      </c>
      <c r="G61" s="241">
        <f>D61/C61</f>
        <v>0.10166091498295013</v>
      </c>
      <c r="H61" s="242">
        <f>1-G61</f>
        <v>0.8983390850170498</v>
      </c>
      <c r="I61" s="157"/>
    </row>
    <row r="62" spans="1:9" ht="15.75">
      <c r="A62" s="164"/>
      <c r="B62" s="165">
        <f>DATE(14,11,1)</f>
        <v>5419</v>
      </c>
      <c r="C62" s="226">
        <v>56240335.28</v>
      </c>
      <c r="D62" s="226">
        <v>5844944.52</v>
      </c>
      <c r="E62" s="226">
        <v>5648709.01</v>
      </c>
      <c r="F62" s="166">
        <f>(+D62-E62)/E62</f>
        <v>0.034739886521433644</v>
      </c>
      <c r="G62" s="241">
        <f>D62/C62</f>
        <v>0.10392798141938814</v>
      </c>
      <c r="H62" s="242">
        <f>1-G62</f>
        <v>0.8960720185806119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SUM(C58:C63)</f>
        <v>294549828.68999994</v>
      </c>
      <c r="D64" s="230">
        <f>SUM(D58:D63)</f>
        <v>29435923.11</v>
      </c>
      <c r="E64" s="273">
        <f>SUM(E58:E63)</f>
        <v>29426131.759999998</v>
      </c>
      <c r="F64" s="274">
        <f>(+D64-E64)/E64</f>
        <v>0.00033274336157602697</v>
      </c>
      <c r="G64" s="249">
        <f>D64/C64</f>
        <v>0.09993529190261369</v>
      </c>
      <c r="H64" s="272">
        <f>1-G64</f>
        <v>0.9000647080973863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69</v>
      </c>
      <c r="B66" s="165">
        <f>DATE(14,7,1)</f>
        <v>5296</v>
      </c>
      <c r="C66" s="226">
        <v>104005398.62</v>
      </c>
      <c r="D66" s="226">
        <v>9639064.75</v>
      </c>
      <c r="E66" s="226">
        <v>9316238.5</v>
      </c>
      <c r="F66" s="166">
        <f>(+D66-E66)/E66</f>
        <v>0.03465199500850048</v>
      </c>
      <c r="G66" s="241">
        <f>D66/C66</f>
        <v>0.09267850398052731</v>
      </c>
      <c r="H66" s="242">
        <f>1-G66</f>
        <v>0.9073214960194727</v>
      </c>
      <c r="I66" s="157"/>
    </row>
    <row r="67" spans="1:9" ht="15.75">
      <c r="A67" s="164"/>
      <c r="B67" s="165">
        <f>DATE(14,8,1)</f>
        <v>5327</v>
      </c>
      <c r="C67" s="226">
        <v>107884157.6</v>
      </c>
      <c r="D67" s="226">
        <v>10229616.31</v>
      </c>
      <c r="E67" s="226">
        <v>9960399.32</v>
      </c>
      <c r="F67" s="166">
        <f>(+D67-E67)/E67</f>
        <v>0.0270287346270772</v>
      </c>
      <c r="G67" s="241">
        <f>D67/C67</f>
        <v>0.09482037527630471</v>
      </c>
      <c r="H67" s="242">
        <f>1-G67</f>
        <v>0.9051796247236953</v>
      </c>
      <c r="I67" s="157"/>
    </row>
    <row r="68" spans="1:9" ht="15.75">
      <c r="A68" s="164"/>
      <c r="B68" s="165">
        <f>DATE(14,9,1)</f>
        <v>5358</v>
      </c>
      <c r="C68" s="226">
        <v>92232098.78</v>
      </c>
      <c r="D68" s="226">
        <v>9028912.84</v>
      </c>
      <c r="E68" s="226">
        <v>9113118.4</v>
      </c>
      <c r="F68" s="166">
        <f>(+D68-E68)/E68</f>
        <v>-0.009240037965489455</v>
      </c>
      <c r="G68" s="241">
        <f>D68/C68</f>
        <v>0.09789339025599478</v>
      </c>
      <c r="H68" s="242">
        <f>1-G68</f>
        <v>0.9021066097440053</v>
      </c>
      <c r="I68" s="157"/>
    </row>
    <row r="69" spans="1:9" ht="15.75">
      <c r="A69" s="164"/>
      <c r="B69" s="165">
        <f>DATE(14,10,1)</f>
        <v>5388</v>
      </c>
      <c r="C69" s="226">
        <v>93570671.55</v>
      </c>
      <c r="D69" s="226">
        <v>9235960.54</v>
      </c>
      <c r="E69" s="226">
        <v>8872089.6</v>
      </c>
      <c r="F69" s="166">
        <f>(+D69-E69)/E69</f>
        <v>0.041012992023885725</v>
      </c>
      <c r="G69" s="241">
        <f>D69/C69</f>
        <v>0.09870572036094358</v>
      </c>
      <c r="H69" s="242">
        <f>1-G69</f>
        <v>0.9012942796390564</v>
      </c>
      <c r="I69" s="157"/>
    </row>
    <row r="70" spans="1:9" ht="15.75">
      <c r="A70" s="164"/>
      <c r="B70" s="165">
        <f>DATE(14,11,1)</f>
        <v>5419</v>
      </c>
      <c r="C70" s="226">
        <v>84014906.01</v>
      </c>
      <c r="D70" s="226">
        <v>8289760.87</v>
      </c>
      <c r="E70" s="226">
        <v>9320105.3</v>
      </c>
      <c r="F70" s="166">
        <f>(+D70-E70)/E70</f>
        <v>-0.11055072843436657</v>
      </c>
      <c r="G70" s="241">
        <f>D70/C70</f>
        <v>0.09867012014526683</v>
      </c>
      <c r="H70" s="242">
        <f>1-G70</f>
        <v>0.9013298798547331</v>
      </c>
      <c r="I70" s="157"/>
    </row>
    <row r="71" spans="1:9" ht="15.75" thickBot="1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Bot="1" thickTop="1">
      <c r="A72" s="174" t="s">
        <v>14</v>
      </c>
      <c r="B72" s="175"/>
      <c r="C72" s="228">
        <f>SUM(C66:C71)</f>
        <v>481707232.56</v>
      </c>
      <c r="D72" s="230">
        <f>SUM(D66:D71)</f>
        <v>46423315.309999995</v>
      </c>
      <c r="E72" s="273">
        <f>SUM(E66:E71)</f>
        <v>46581951.120000005</v>
      </c>
      <c r="F72" s="176">
        <f>(+D72-E72)/E72</f>
        <v>-0.0034055209407469283</v>
      </c>
      <c r="G72" s="249">
        <f>D72/C72</f>
        <v>0.09637246894402327</v>
      </c>
      <c r="H72" s="272">
        <f>1-G72</f>
        <v>0.9036275310559767</v>
      </c>
      <c r="I72" s="157"/>
    </row>
    <row r="73" spans="1:9" ht="15.75" thickTop="1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>
      <c r="A74" s="164" t="s">
        <v>18</v>
      </c>
      <c r="B74" s="165">
        <f>DATE(14,7,1)</f>
        <v>5296</v>
      </c>
      <c r="C74" s="226">
        <v>170865857.98</v>
      </c>
      <c r="D74" s="226">
        <v>15576345.16</v>
      </c>
      <c r="E74" s="226">
        <v>15123973.77</v>
      </c>
      <c r="F74" s="166">
        <f>(+D74-E74)/E74</f>
        <v>0.029910881682255166</v>
      </c>
      <c r="G74" s="241">
        <f>D74/C74</f>
        <v>0.09116124979060021</v>
      </c>
      <c r="H74" s="242">
        <f>1-G74</f>
        <v>0.9088387502093997</v>
      </c>
      <c r="I74" s="157"/>
    </row>
    <row r="75" spans="1:9" ht="15.75">
      <c r="A75" s="164"/>
      <c r="B75" s="165">
        <f>DATE(14,8,1)</f>
        <v>5327</v>
      </c>
      <c r="C75" s="226">
        <v>169332892.92</v>
      </c>
      <c r="D75" s="226">
        <v>15506824.22</v>
      </c>
      <c r="E75" s="226">
        <v>16093372.8</v>
      </c>
      <c r="F75" s="166">
        <f>(+D75-E75)/E75</f>
        <v>-0.036446591232883144</v>
      </c>
      <c r="G75" s="241">
        <f>D75/C75</f>
        <v>0.09157597175952152</v>
      </c>
      <c r="H75" s="242">
        <f>1-G75</f>
        <v>0.9084240282404785</v>
      </c>
      <c r="I75" s="157"/>
    </row>
    <row r="76" spans="1:9" ht="15.75">
      <c r="A76" s="164"/>
      <c r="B76" s="165">
        <f>DATE(14,9,1)</f>
        <v>5358</v>
      </c>
      <c r="C76" s="226">
        <v>145865100.6</v>
      </c>
      <c r="D76" s="226">
        <v>12960092.39</v>
      </c>
      <c r="E76" s="226">
        <v>14433081.53</v>
      </c>
      <c r="F76" s="166">
        <f>(+D76-E76)/E76</f>
        <v>-0.10205645529946637</v>
      </c>
      <c r="G76" s="241">
        <f>D76/C76</f>
        <v>0.08884985055842755</v>
      </c>
      <c r="H76" s="242">
        <f>1-G76</f>
        <v>0.9111501494415725</v>
      </c>
      <c r="I76" s="157"/>
    </row>
    <row r="77" spans="1:9" ht="15.75">
      <c r="A77" s="164"/>
      <c r="B77" s="165">
        <f>DATE(14,10,1)</f>
        <v>5388</v>
      </c>
      <c r="C77" s="226">
        <v>149099428.91</v>
      </c>
      <c r="D77" s="226">
        <v>13690052.84</v>
      </c>
      <c r="E77" s="226">
        <v>14186944.14</v>
      </c>
      <c r="F77" s="166">
        <f>(+D77-E77)/E77</f>
        <v>-0.03502454757674127</v>
      </c>
      <c r="G77" s="241">
        <f>D77/C77</f>
        <v>0.0918182781790777</v>
      </c>
      <c r="H77" s="242">
        <f>1-G77</f>
        <v>0.9081817218209223</v>
      </c>
      <c r="I77" s="157"/>
    </row>
    <row r="78" spans="1:9" ht="15.75">
      <c r="A78" s="164"/>
      <c r="B78" s="165">
        <f>DATE(14,11,1)</f>
        <v>5419</v>
      </c>
      <c r="C78" s="226">
        <v>144930968.41</v>
      </c>
      <c r="D78" s="226">
        <v>12590815.7</v>
      </c>
      <c r="E78" s="226">
        <v>14454416.22</v>
      </c>
      <c r="F78" s="166">
        <f>(+D78-E78)/E78</f>
        <v>-0.12892949058858644</v>
      </c>
      <c r="G78" s="241">
        <f>D78/C78</f>
        <v>0.08687457096389106</v>
      </c>
      <c r="H78" s="242">
        <f>1-G78</f>
        <v>0.9131254290361089</v>
      </c>
      <c r="I78" s="157"/>
    </row>
    <row r="79" spans="1:9" ht="15.75" customHeight="1" thickBot="1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81"/>
      <c r="C80" s="228">
        <f>SUM(C74:C79)</f>
        <v>780094248.8199999</v>
      </c>
      <c r="D80" s="228">
        <f>SUM(D74:D79)</f>
        <v>70324130.31</v>
      </c>
      <c r="E80" s="228">
        <f>SUM(E74:E79)</f>
        <v>74291788.46000001</v>
      </c>
      <c r="F80" s="176">
        <f>(+D80-E80)/E80</f>
        <v>-0.05340641586702765</v>
      </c>
      <c r="G80" s="245">
        <f>D80/C80</f>
        <v>0.09014824864607698</v>
      </c>
      <c r="H80" s="246">
        <f>1-G80</f>
        <v>0.909851751353923</v>
      </c>
      <c r="I80" s="157"/>
    </row>
    <row r="81" spans="1:9" ht="15.75" thickTop="1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>
      <c r="A82" s="164" t="s">
        <v>58</v>
      </c>
      <c r="B82" s="165">
        <f>DATE(14,7,1)</f>
        <v>5296</v>
      </c>
      <c r="C82" s="226">
        <v>178234462.89</v>
      </c>
      <c r="D82" s="226">
        <v>15819821.05</v>
      </c>
      <c r="E82" s="226">
        <v>14863761.06</v>
      </c>
      <c r="F82" s="166">
        <f>(+D82-E82)/E82</f>
        <v>0.06432153922151385</v>
      </c>
      <c r="G82" s="241">
        <f>D82/C82</f>
        <v>0.08875848583650983</v>
      </c>
      <c r="H82" s="242">
        <f>1-G82</f>
        <v>0.9112415141634902</v>
      </c>
      <c r="I82" s="157"/>
    </row>
    <row r="83" spans="1:9" ht="15.75">
      <c r="A83" s="164"/>
      <c r="B83" s="165">
        <f>DATE(14,8,1)</f>
        <v>5327</v>
      </c>
      <c r="C83" s="226">
        <v>191683237.99</v>
      </c>
      <c r="D83" s="226">
        <v>17009683.77</v>
      </c>
      <c r="E83" s="226">
        <v>16316843.81</v>
      </c>
      <c r="F83" s="166">
        <f>(+D83-E83)/E83</f>
        <v>0.04246164074791122</v>
      </c>
      <c r="G83" s="241">
        <f>D83/C83</f>
        <v>0.08873850394204727</v>
      </c>
      <c r="H83" s="242">
        <f>1-G83</f>
        <v>0.9112614960579527</v>
      </c>
      <c r="I83" s="157"/>
    </row>
    <row r="84" spans="1:9" ht="15.75">
      <c r="A84" s="164"/>
      <c r="B84" s="165">
        <f>DATE(14,9,1)</f>
        <v>5358</v>
      </c>
      <c r="C84" s="226">
        <v>161926951.08</v>
      </c>
      <c r="D84" s="226">
        <v>14534184.86</v>
      </c>
      <c r="E84" s="226">
        <v>15465402.22</v>
      </c>
      <c r="F84" s="166">
        <f>(+D84-E84)/E84</f>
        <v>-0.06021294155516643</v>
      </c>
      <c r="G84" s="241">
        <f>D84/C84</f>
        <v>0.08975766395316975</v>
      </c>
      <c r="H84" s="242">
        <f>1-G84</f>
        <v>0.9102423360468302</v>
      </c>
      <c r="I84" s="157"/>
    </row>
    <row r="85" spans="1:9" ht="15.75">
      <c r="A85" s="164"/>
      <c r="B85" s="165">
        <f>DATE(14,10,1)</f>
        <v>5388</v>
      </c>
      <c r="C85" s="226">
        <v>171491689.23</v>
      </c>
      <c r="D85" s="226">
        <v>15429362.82</v>
      </c>
      <c r="E85" s="226">
        <v>15048636.17</v>
      </c>
      <c r="F85" s="166">
        <f>(+D85-E85)/E85</f>
        <v>0.025299744488407043</v>
      </c>
      <c r="G85" s="241">
        <f>D85/C85</f>
        <v>0.0899714901012291</v>
      </c>
      <c r="H85" s="242">
        <f>1-G85</f>
        <v>0.9100285098987709</v>
      </c>
      <c r="I85" s="157"/>
    </row>
    <row r="86" spans="1:9" ht="15.75">
      <c r="A86" s="164"/>
      <c r="B86" s="165">
        <f>DATE(14,11,1)</f>
        <v>5419</v>
      </c>
      <c r="C86" s="226">
        <v>163009625.74</v>
      </c>
      <c r="D86" s="226">
        <v>15452261.49</v>
      </c>
      <c r="E86" s="226">
        <v>15888829.39</v>
      </c>
      <c r="F86" s="166">
        <f>(+D86-E86)/E86</f>
        <v>-0.02747640428908906</v>
      </c>
      <c r="G86" s="241">
        <f>D86/C86</f>
        <v>0.09479355234301515</v>
      </c>
      <c r="H86" s="242">
        <f>1-G86</f>
        <v>0.9052064476569849</v>
      </c>
      <c r="I86" s="157"/>
    </row>
    <row r="87" spans="1:9" ht="15.75" thickBot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SUM(C82:C87)</f>
        <v>866345966.9300001</v>
      </c>
      <c r="D88" s="228">
        <f>SUM(D82:D87)</f>
        <v>78245313.99</v>
      </c>
      <c r="E88" s="228">
        <f>SUM(E82:E87)</f>
        <v>77583472.65</v>
      </c>
      <c r="F88" s="176">
        <f>(+D88-E88)/E88</f>
        <v>0.008530700127148648</v>
      </c>
      <c r="G88" s="249">
        <f>D88/C88</f>
        <v>0.0903164751459184</v>
      </c>
      <c r="H88" s="272">
        <f>1-G88</f>
        <v>0.9096835248540815</v>
      </c>
      <c r="I88" s="157"/>
    </row>
    <row r="89" spans="1:9" ht="15.75" thickTop="1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>
      <c r="A90" s="164" t="s">
        <v>59</v>
      </c>
      <c r="B90" s="165">
        <f>DATE(14,7,1)</f>
        <v>5296</v>
      </c>
      <c r="C90" s="226">
        <v>31233936.53</v>
      </c>
      <c r="D90" s="226">
        <v>2839788.24</v>
      </c>
      <c r="E90" s="226">
        <v>2770760.02</v>
      </c>
      <c r="F90" s="166">
        <f>(+D90-E90)/E90</f>
        <v>0.02491309947513975</v>
      </c>
      <c r="G90" s="241">
        <f>D90/C90</f>
        <v>0.09091995936126723</v>
      </c>
      <c r="H90" s="242">
        <f>1-G90</f>
        <v>0.9090800406387327</v>
      </c>
      <c r="I90" s="157"/>
    </row>
    <row r="91" spans="1:9" ht="15.75">
      <c r="A91" s="164"/>
      <c r="B91" s="165">
        <f>DATE(14,8,1)</f>
        <v>5327</v>
      </c>
      <c r="C91" s="226">
        <v>32336581.91</v>
      </c>
      <c r="D91" s="226">
        <v>3005400.13</v>
      </c>
      <c r="E91" s="226">
        <v>2848021.81</v>
      </c>
      <c r="F91" s="166">
        <f>(+D91-E91)/E91</f>
        <v>0.05525881840069189</v>
      </c>
      <c r="G91" s="241">
        <f>D91/C91</f>
        <v>0.09294118154988384</v>
      </c>
      <c r="H91" s="242">
        <f>1-G91</f>
        <v>0.9070588184501162</v>
      </c>
      <c r="I91" s="157"/>
    </row>
    <row r="92" spans="1:9" ht="15.75">
      <c r="A92" s="164"/>
      <c r="B92" s="165">
        <f>DATE(14,9,1)</f>
        <v>5358</v>
      </c>
      <c r="C92" s="226">
        <v>28267821.79</v>
      </c>
      <c r="D92" s="226">
        <v>2588664.34</v>
      </c>
      <c r="E92" s="226">
        <v>2655877.31</v>
      </c>
      <c r="F92" s="166">
        <f>(+D92-E92)/E92</f>
        <v>-0.025307257133801938</v>
      </c>
      <c r="G92" s="241">
        <f>D92/C92</f>
        <v>0.091576364080368</v>
      </c>
      <c r="H92" s="242">
        <f>1-G92</f>
        <v>0.908423635919632</v>
      </c>
      <c r="I92" s="157"/>
    </row>
    <row r="93" spans="1:9" ht="15.75">
      <c r="A93" s="164"/>
      <c r="B93" s="165">
        <f>DATE(14,10,1)</f>
        <v>5388</v>
      </c>
      <c r="C93" s="226">
        <v>29499561.73</v>
      </c>
      <c r="D93" s="226">
        <v>2779309.1</v>
      </c>
      <c r="E93" s="226">
        <v>2691489.37</v>
      </c>
      <c r="F93" s="166">
        <f>(+D93-E93)/E93</f>
        <v>0.03262867428675744</v>
      </c>
      <c r="G93" s="241">
        <f>D93/C93</f>
        <v>0.09421526751611167</v>
      </c>
      <c r="H93" s="242">
        <f>1-G93</f>
        <v>0.9057847324838884</v>
      </c>
      <c r="I93" s="157"/>
    </row>
    <row r="94" spans="1:9" ht="15.75">
      <c r="A94" s="164"/>
      <c r="B94" s="165">
        <f>DATE(14,11,1)</f>
        <v>5419</v>
      </c>
      <c r="C94" s="226">
        <v>28514071.56</v>
      </c>
      <c r="D94" s="226">
        <v>2575983.41</v>
      </c>
      <c r="E94" s="226">
        <v>2901304.87</v>
      </c>
      <c r="F94" s="166">
        <f>(+D94-E94)/E94</f>
        <v>-0.11212936060731872</v>
      </c>
      <c r="G94" s="241">
        <f>D94/C94</f>
        <v>0.0903407780463605</v>
      </c>
      <c r="H94" s="242">
        <f>1-G94</f>
        <v>0.9096592219536395</v>
      </c>
      <c r="I94" s="157"/>
    </row>
    <row r="95" spans="1:9" ht="15.75" thickBot="1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Bot="1" thickTop="1">
      <c r="A96" s="182" t="s">
        <v>14</v>
      </c>
      <c r="B96" s="183"/>
      <c r="C96" s="230">
        <f>SUM(C90:C95)</f>
        <v>149851973.51999998</v>
      </c>
      <c r="D96" s="230">
        <f>SUM(D90:D95)</f>
        <v>13789145.22</v>
      </c>
      <c r="E96" s="230">
        <f>SUM(E90:E95)</f>
        <v>13867453.380000003</v>
      </c>
      <c r="F96" s="176">
        <f>(+D96-E96)/E96</f>
        <v>-0.005646902704785008</v>
      </c>
      <c r="G96" s="249">
        <f>D96/C96</f>
        <v>0.09201844257432909</v>
      </c>
      <c r="H96" s="246">
        <f>1-G96</f>
        <v>0.9079815574256709</v>
      </c>
      <c r="I96" s="157"/>
    </row>
    <row r="97" spans="1:9" ht="15.75" thickTop="1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>
      <c r="A98" s="164" t="s">
        <v>40</v>
      </c>
      <c r="B98" s="165">
        <f>DATE(14,7,1)</f>
        <v>5296</v>
      </c>
      <c r="C98" s="226">
        <v>208794950.02</v>
      </c>
      <c r="D98" s="226">
        <v>19981616.24</v>
      </c>
      <c r="E98" s="226">
        <v>19237476.19</v>
      </c>
      <c r="F98" s="166">
        <f>(+D98-E98)/E98</f>
        <v>0.038681791865547044</v>
      </c>
      <c r="G98" s="241">
        <f>D98/C98</f>
        <v>0.09569971035260193</v>
      </c>
      <c r="H98" s="242">
        <f>1-G98</f>
        <v>0.9043002896473981</v>
      </c>
      <c r="I98" s="157"/>
    </row>
    <row r="99" spans="1:9" ht="15.75">
      <c r="A99" s="164"/>
      <c r="B99" s="165">
        <f>DATE(14,8,1)</f>
        <v>5327</v>
      </c>
      <c r="C99" s="226">
        <v>228005697.9</v>
      </c>
      <c r="D99" s="226">
        <v>21075262.02</v>
      </c>
      <c r="E99" s="226">
        <v>19934717.81</v>
      </c>
      <c r="F99" s="166">
        <f>(+D99-E99)/E99</f>
        <v>0.057213963140619994</v>
      </c>
      <c r="G99" s="241">
        <f>D99/C99</f>
        <v>0.09243304976195509</v>
      </c>
      <c r="H99" s="242">
        <f>1-G99</f>
        <v>0.9075669502380449</v>
      </c>
      <c r="I99" s="157"/>
    </row>
    <row r="100" spans="1:9" ht="15.75">
      <c r="A100" s="164"/>
      <c r="B100" s="165">
        <f>DATE(14,9,1)</f>
        <v>5358</v>
      </c>
      <c r="C100" s="226">
        <v>197202483.97</v>
      </c>
      <c r="D100" s="226">
        <v>17486814.22</v>
      </c>
      <c r="E100" s="226">
        <v>18326968.42</v>
      </c>
      <c r="F100" s="166">
        <f>(+D100-E100)/E100</f>
        <v>-0.045842508195908314</v>
      </c>
      <c r="G100" s="241">
        <f>D100/C100</f>
        <v>0.08867441153865097</v>
      </c>
      <c r="H100" s="242">
        <f>1-G100</f>
        <v>0.911325588461349</v>
      </c>
      <c r="I100" s="157"/>
    </row>
    <row r="101" spans="1:9" ht="15.75">
      <c r="A101" s="164"/>
      <c r="B101" s="165">
        <f>DATE(14,10,1)</f>
        <v>5388</v>
      </c>
      <c r="C101" s="226">
        <v>205688352.4</v>
      </c>
      <c r="D101" s="226">
        <v>18422996.77</v>
      </c>
      <c r="E101" s="226">
        <v>18320631.43</v>
      </c>
      <c r="F101" s="166">
        <f>(+D101-E101)/E101</f>
        <v>0.005587435148789512</v>
      </c>
      <c r="G101" s="241">
        <f>D101/C101</f>
        <v>0.08956752560384648</v>
      </c>
      <c r="H101" s="242">
        <f>1-G101</f>
        <v>0.9104324743961535</v>
      </c>
      <c r="I101" s="157"/>
    </row>
    <row r="102" spans="1:9" ht="15.75">
      <c r="A102" s="164"/>
      <c r="B102" s="165">
        <f>DATE(14,11,1)</f>
        <v>5419</v>
      </c>
      <c r="C102" s="226">
        <v>201521217.17</v>
      </c>
      <c r="D102" s="226">
        <v>18567422.19</v>
      </c>
      <c r="E102" s="226">
        <v>19295010.93</v>
      </c>
      <c r="F102" s="166">
        <f>(+D102-E102)/E102</f>
        <v>-0.037708646169706955</v>
      </c>
      <c r="G102" s="241">
        <f>D102/C102</f>
        <v>0.09213631423403337</v>
      </c>
      <c r="H102" s="242">
        <f>1-G102</f>
        <v>0.9078636857659667</v>
      </c>
      <c r="I102" s="157"/>
    </row>
    <row r="103" spans="1:9" ht="15.75" thickBot="1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Bot="1" thickTop="1">
      <c r="A104" s="174" t="s">
        <v>14</v>
      </c>
      <c r="B104" s="175"/>
      <c r="C104" s="228">
        <f>SUM(C98:C103)</f>
        <v>1041212701.4599999</v>
      </c>
      <c r="D104" s="228">
        <f>SUM(D98:D103)</f>
        <v>95534111.44</v>
      </c>
      <c r="E104" s="228">
        <f>SUM(E98:E103)</f>
        <v>95114804.78</v>
      </c>
      <c r="F104" s="176">
        <f>(+D104-E104)/E104</f>
        <v>0.004408426858151581</v>
      </c>
      <c r="G104" s="245">
        <f>D104/C104</f>
        <v>0.09175273342904962</v>
      </c>
      <c r="H104" s="246">
        <f>1-G104</f>
        <v>0.9082472665709503</v>
      </c>
      <c r="I104" s="157"/>
    </row>
    <row r="105" spans="1:9" ht="15.75" thickTop="1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>
      <c r="A106" s="164" t="s">
        <v>64</v>
      </c>
      <c r="B106" s="165">
        <f>DATE(14,7,1)</f>
        <v>5296</v>
      </c>
      <c r="C106" s="226">
        <v>33610475.52</v>
      </c>
      <c r="D106" s="226">
        <v>3131194.84</v>
      </c>
      <c r="E106" s="226">
        <v>2870304.45</v>
      </c>
      <c r="F106" s="166">
        <f>(+D106-E106)/E106</f>
        <v>0.09089293297789357</v>
      </c>
      <c r="G106" s="241">
        <f>D106/C106</f>
        <v>0.09316127759444445</v>
      </c>
      <c r="H106" s="242">
        <f>1-G106</f>
        <v>0.9068387224055555</v>
      </c>
      <c r="I106" s="157"/>
    </row>
    <row r="107" spans="1:9" ht="15.75">
      <c r="A107" s="164"/>
      <c r="B107" s="165">
        <f>DATE(14,8,1)</f>
        <v>5327</v>
      </c>
      <c r="C107" s="226">
        <v>33728587.18</v>
      </c>
      <c r="D107" s="226">
        <v>3227301.46</v>
      </c>
      <c r="E107" s="226">
        <v>2938117.55</v>
      </c>
      <c r="F107" s="166">
        <f>(+D107-E107)/E107</f>
        <v>0.09842489453834145</v>
      </c>
      <c r="G107" s="241">
        <f>D107/C107</f>
        <v>0.09568445434066948</v>
      </c>
      <c r="H107" s="242">
        <f>1-G107</f>
        <v>0.9043155456593305</v>
      </c>
      <c r="I107" s="157"/>
    </row>
    <row r="108" spans="1:9" ht="15.75">
      <c r="A108" s="164"/>
      <c r="B108" s="165">
        <f>DATE(14,9,1)</f>
        <v>5358</v>
      </c>
      <c r="C108" s="226">
        <v>31509616.57</v>
      </c>
      <c r="D108" s="226">
        <v>2886113.88</v>
      </c>
      <c r="E108" s="226">
        <v>2795573.06</v>
      </c>
      <c r="F108" s="166">
        <f>(+D108-E108)/E108</f>
        <v>0.032387212945885174</v>
      </c>
      <c r="G108" s="241">
        <f>D108/C108</f>
        <v>0.09159470010015422</v>
      </c>
      <c r="H108" s="242">
        <f>1-G108</f>
        <v>0.9084052998998458</v>
      </c>
      <c r="I108" s="157"/>
    </row>
    <row r="109" spans="1:9" ht="15.75">
      <c r="A109" s="164"/>
      <c r="B109" s="165">
        <f>DATE(14,10,1)</f>
        <v>5388</v>
      </c>
      <c r="C109" s="226">
        <v>32479676.21</v>
      </c>
      <c r="D109" s="226">
        <v>2908095.78</v>
      </c>
      <c r="E109" s="226">
        <v>2890029.24</v>
      </c>
      <c r="F109" s="166">
        <f>(+D109-E109)/E109</f>
        <v>0.006251334675077395</v>
      </c>
      <c r="G109" s="241">
        <f>D109/C109</f>
        <v>0.08953586117045838</v>
      </c>
      <c r="H109" s="242">
        <f>1-G109</f>
        <v>0.9104641388295416</v>
      </c>
      <c r="I109" s="157"/>
    </row>
    <row r="110" spans="1:9" ht="15.75">
      <c r="A110" s="164"/>
      <c r="B110" s="165">
        <f>DATE(14,11,1)</f>
        <v>5419</v>
      </c>
      <c r="C110" s="226">
        <v>31271382.8</v>
      </c>
      <c r="D110" s="226">
        <v>2809905.23</v>
      </c>
      <c r="E110" s="226">
        <v>2745250.28</v>
      </c>
      <c r="F110" s="166">
        <f>(+D110-E110)/E110</f>
        <v>0.023551568493055647</v>
      </c>
      <c r="G110" s="241">
        <f>D110/C110</f>
        <v>0.08985548378116492</v>
      </c>
      <c r="H110" s="242">
        <f>1-G110</f>
        <v>0.9101445162188351</v>
      </c>
      <c r="I110" s="157"/>
    </row>
    <row r="111" spans="1:9" ht="15.75" thickBot="1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Bot="1" thickTop="1">
      <c r="A112" s="169" t="s">
        <v>14</v>
      </c>
      <c r="B112" s="155"/>
      <c r="C112" s="223">
        <f>SUM(C106:C111)</f>
        <v>162599738.28000003</v>
      </c>
      <c r="D112" s="223">
        <f>SUM(D106:D111)</f>
        <v>14962611.19</v>
      </c>
      <c r="E112" s="223">
        <f>SUM(E106:E111)</f>
        <v>14239274.58</v>
      </c>
      <c r="F112" s="176">
        <f>(+D112-E112)/E112</f>
        <v>0.05079869806120414</v>
      </c>
      <c r="G112" s="245">
        <f>D112/C112</f>
        <v>0.09202112714495321</v>
      </c>
      <c r="H112" s="246">
        <f>1-G112</f>
        <v>0.9079788728550467</v>
      </c>
      <c r="I112" s="157"/>
    </row>
    <row r="113" spans="1:9" ht="16.5" thickBot="1" thickTop="1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Bot="1" thickTop="1">
      <c r="A114" s="184" t="s">
        <v>41</v>
      </c>
      <c r="B114" s="155"/>
      <c r="C114" s="223">
        <f>C112+C104+C80+C64+C48+C32+C16+C40+C96+C24+C72+C88+C56</f>
        <v>6438680024.660001</v>
      </c>
      <c r="D114" s="223">
        <f>D112+D104+D80+D64+D48+D32+D16+D40+D96+D24+D72+D88+D56</f>
        <v>600605300.2800001</v>
      </c>
      <c r="E114" s="223">
        <f>E112+E104+E80+E64+E48+E32+E16+E40+E96+E24+E72+E88+E56</f>
        <v>610263370.27</v>
      </c>
      <c r="F114" s="170">
        <f>(+D114-E114)/E114</f>
        <v>-0.015826068645946833</v>
      </c>
      <c r="G114" s="236">
        <f>D114/C114</f>
        <v>0.09328081190239229</v>
      </c>
      <c r="H114" s="237">
        <f>1-G114</f>
        <v>0.9067191880976078</v>
      </c>
      <c r="I114" s="157"/>
    </row>
    <row r="115" spans="1:9" ht="17.25" thickBot="1" thickTop="1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Bot="1" thickTop="1">
      <c r="A116" s="184" t="s">
        <v>42</v>
      </c>
      <c r="B116" s="155"/>
      <c r="C116" s="223">
        <f>+C14+C22+C30+C38+C46+C54+C62+C70+C78+C86+C94+C102+C110</f>
        <v>1232479833.3</v>
      </c>
      <c r="D116" s="223">
        <f>+D14+D22+D30+D38+D46+D54+D62+D70+D78+D86+D94+D102+D110</f>
        <v>115361518.08999999</v>
      </c>
      <c r="E116" s="223">
        <f>+E14+E22+E30+E38+E46+E54+E62+E70+E78+E86+E94+E102+E110</f>
        <v>120955443.19</v>
      </c>
      <c r="F116" s="170">
        <f>(+D116-E116)/E116</f>
        <v>-0.04624781615832637</v>
      </c>
      <c r="G116" s="236">
        <f>D116/C116</f>
        <v>0.09360114054046323</v>
      </c>
      <c r="H116" s="246">
        <f>1-G116</f>
        <v>0.9063988594595368</v>
      </c>
      <c r="I116" s="157"/>
    </row>
    <row r="117" spans="1:9" ht="16.5" thickTop="1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18" s="3" customFormat="1" ht="15.75">
      <c r="A118" s="256" t="s">
        <v>70</v>
      </c>
      <c r="B118" s="258"/>
      <c r="C118" s="259"/>
      <c r="D118" s="259"/>
      <c r="E118" s="259"/>
      <c r="F118" s="260"/>
      <c r="G118" s="257"/>
      <c r="H118" s="257"/>
      <c r="I118" s="261"/>
      <c r="J118" s="261"/>
      <c r="K118" s="262"/>
      <c r="L118" s="262"/>
      <c r="M118" s="261"/>
      <c r="R118" s="2"/>
    </row>
    <row r="119" spans="1:9" ht="16.5" customHeight="1">
      <c r="A119" s="188" t="s">
        <v>52</v>
      </c>
      <c r="B119" s="189"/>
      <c r="C119" s="232"/>
      <c r="D119" s="232"/>
      <c r="E119" s="232"/>
      <c r="F119" s="190"/>
      <c r="G119" s="251"/>
      <c r="H119" s="251"/>
      <c r="I119" s="151"/>
    </row>
    <row r="120" spans="1:9" ht="15.75">
      <c r="A120" s="191"/>
      <c r="B120" s="189"/>
      <c r="C120" s="232"/>
      <c r="D120" s="232"/>
      <c r="E120" s="232"/>
      <c r="F120" s="190"/>
      <c r="G120" s="257"/>
      <c r="H120" s="257"/>
      <c r="I120" s="151"/>
    </row>
    <row r="121" spans="1:9" ht="15.75">
      <c r="A121" s="72"/>
      <c r="I121" s="151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2" manualBreakCount="2">
    <brk id="56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jgofo</cp:lastModifiedBy>
  <cp:lastPrinted>2014-12-09T14:08:04Z</cp:lastPrinted>
  <dcterms:created xsi:type="dcterms:W3CDTF">2003-09-09T14:41:43Z</dcterms:created>
  <dcterms:modified xsi:type="dcterms:W3CDTF">2014-12-09T14:09:43Z</dcterms:modified>
  <cp:category/>
  <cp:version/>
  <cp:contentType/>
  <cp:contentStatus/>
</cp:coreProperties>
</file>