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STATS'!$A$1:$M$143</definedName>
    <definedName name="_xlnm.Print_Area" localSheetId="3">'SLOT STATS'!$A$1:$I$144</definedName>
    <definedName name="_xlnm.Print_Area" localSheetId="2">'TABLE STATS'!$A$1:$H$143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<sst xmlns="http://schemas.openxmlformats.org/spreadsheetml/2006/main" count="192" uniqueCount="75">
  <si>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</si>
  <si>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</si>
  <si>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</si>
  <si>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</si>
  <si>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</si>
  <si>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</si>
  <si>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</si>
  <si>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</si>
  <si>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</si>
  <si>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</si>
  <si>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</si>
  <si>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</si>
  <si>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</si>
  <si>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</si>
  <si>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</si>
  <si>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</si>
  <si>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</si>
  <si>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</si>
  <si>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</si>
  <si>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</si>
  <si>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</si>
  <si>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</si>
  <si>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</si>
  <si>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</si>
  <si>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</si>
  <si>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</si>
  <si>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</si>
  <si>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</si>
  <si>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</si>
  <si>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</si>
  <si>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</si>
  <si>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</si>
  <si>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</si>
  <si>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</si>
  <si>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</si>
  <si>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</si>
  <si>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</si>
  <si>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</si>
  <si>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</si>
  <si>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</si>
  <si>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</si>
  <si>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</si>
  <si>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</si>
  <si>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</si>
  <si>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</si>
  <si>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</si>
  <si>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</si>
  <si>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</si>
  <si>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</si>
  <si>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</si>
  <si>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</si>
  <si>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</si>
  <si>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</si>
  <si>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</si>
  <si>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</si>
  <si>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</si>
  <si>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</si>
  <si>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</si>
  <si>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</si>
  <si>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</si>
  <si>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</si>
  <si>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</si>
  <si>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</si>
  <si>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</si>
  <si>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</si>
  <si>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</si>
  <si>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</si>
  <si>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FISCAL 2016 YTD ADMISSIONS, PATRONS AND AGR SUMMARY </t>
  </si>
  <si>
    <t xml:space="preserve">LUMIERE PLACE </t>
  </si>
  <si>
    <t>MONTH ENDED:   JANUARY 31, 2016</t>
  </si>
  <si>
    <t>(as reported on the tax remittal database dtd 2/9/16)</t>
  </si>
  <si>
    <t>FOR THE MONTH ENDED:   JANUARY 31, 2016</t>
  </si>
  <si>
    <t>THRU MONTH ENDED:   JANUARY 31, 2016</t>
  </si>
  <si>
    <t>(as reported on the tax remittal database as of 2/9/16)</t>
  </si>
  <si>
    <t>THRU MONTH ENDED:     JANUARY 31,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</si>
</sst>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7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3"/>
  <sheetViews>
    <sheetView tabSelected="1" showOutlineSymbols="0" workbookViewId="0" topLeftCell="A1">
      <selection activeCell="A3" sqref="A3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67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DATE(2015,7,1)</f>
        <v>42186</v>
      </c>
      <c r="C9" s="21">
        <v>283931</v>
      </c>
      <c r="D9" s="22">
        <v>267164</v>
      </c>
      <c r="E9" s="23">
        <f aca="true" t="shared" si="0" ref="E9:E15">(+C9-D9)/D9</f>
        <v>0.06275920408438262</v>
      </c>
      <c r="F9" s="21">
        <f>+C9-135860</f>
        <v>148071</v>
      </c>
      <c r="G9" s="21">
        <f>+D9-127421</f>
        <v>139743</v>
      </c>
      <c r="H9" s="23">
        <f aca="true" t="shared" si="1" ref="H9:H15">(+F9-G9)/G9</f>
        <v>0.05959511388763659</v>
      </c>
      <c r="I9" s="24">
        <f aca="true" t="shared" si="2" ref="I9:I15">K9/C9</f>
        <v>45.25721231566825</v>
      </c>
      <c r="J9" s="24">
        <f aca="true" t="shared" si="3" ref="J9:J15">K9/F9</f>
        <v>86.78218928757151</v>
      </c>
      <c r="K9" s="21">
        <v>12849925.55</v>
      </c>
      <c r="L9" s="21">
        <v>11142372.81</v>
      </c>
      <c r="M9" s="25">
        <f aca="true" t="shared" si="4" ref="M9:M15">(+K9-L9)/L9</f>
        <v>0.15324857363123898</v>
      </c>
      <c r="N9" s="10"/>
      <c r="R9" s="2"/>
    </row>
    <row r="10" spans="1:18" ht="15.75">
      <c r="A10" s="19"/>
      <c r="B10" s="20">
        <f>DATE(2015,8,1)</f>
        <v>42217</v>
      </c>
      <c r="C10" s="21">
        <v>273668</v>
      </c>
      <c r="D10" s="22">
        <v>277665</v>
      </c>
      <c r="E10" s="23">
        <f t="shared" si="0"/>
        <v>-0.014395044388021536</v>
      </c>
      <c r="F10" s="21">
        <f>+C10-130612</f>
        <v>143056</v>
      </c>
      <c r="G10" s="21">
        <f>+D10-135151</f>
        <v>142514</v>
      </c>
      <c r="H10" s="23">
        <f t="shared" si="1"/>
        <v>0.003803135130583662</v>
      </c>
      <c r="I10" s="24">
        <f t="shared" si="2"/>
        <v>43.66950852858208</v>
      </c>
      <c r="J10" s="24">
        <f t="shared" si="3"/>
        <v>83.54034126495918</v>
      </c>
      <c r="K10" s="21">
        <v>11950947.06</v>
      </c>
      <c r="L10" s="21">
        <v>12165062.62</v>
      </c>
      <c r="M10" s="25">
        <f t="shared" si="4"/>
        <v>-0.01760085966577611</v>
      </c>
      <c r="N10" s="10"/>
      <c r="R10" s="2"/>
    </row>
    <row r="11" spans="1:18" ht="15.75">
      <c r="A11" s="19"/>
      <c r="B11" s="20">
        <f>DATE(2015,9,1)</f>
        <v>42248</v>
      </c>
      <c r="C11" s="21">
        <v>266481</v>
      </c>
      <c r="D11" s="22">
        <v>248158</v>
      </c>
      <c r="E11" s="23">
        <f t="shared" si="0"/>
        <v>0.07383602382353179</v>
      </c>
      <c r="F11" s="21">
        <f>+C11-126933</f>
        <v>139548</v>
      </c>
      <c r="G11" s="21">
        <f>+D11-120172</f>
        <v>127986</v>
      </c>
      <c r="H11" s="23">
        <f t="shared" si="1"/>
        <v>0.09033800571937556</v>
      </c>
      <c r="I11" s="24">
        <f t="shared" si="2"/>
        <v>44.13791302194152</v>
      </c>
      <c r="J11" s="24">
        <f t="shared" si="3"/>
        <v>84.28580273454294</v>
      </c>
      <c r="K11" s="21">
        <v>11761915.2</v>
      </c>
      <c r="L11" s="21">
        <v>10627922.3</v>
      </c>
      <c r="M11" s="25">
        <f t="shared" si="4"/>
        <v>0.10669939692728074</v>
      </c>
      <c r="N11" s="10"/>
      <c r="R11" s="2"/>
    </row>
    <row r="12" spans="1:18" ht="15.75">
      <c r="A12" s="19"/>
      <c r="B12" s="20">
        <f>DATE(2015,10,1)</f>
        <v>42278</v>
      </c>
      <c r="C12" s="21">
        <v>273087</v>
      </c>
      <c r="D12" s="22">
        <v>266065</v>
      </c>
      <c r="E12" s="23">
        <f t="shared" si="0"/>
        <v>0.026392047056170483</v>
      </c>
      <c r="F12" s="21">
        <f>+C12-130295</f>
        <v>142792</v>
      </c>
      <c r="G12" s="21">
        <f>+D12-128901</f>
        <v>137164</v>
      </c>
      <c r="H12" s="23">
        <f t="shared" si="1"/>
        <v>0.041031174360619406</v>
      </c>
      <c r="I12" s="24">
        <f t="shared" si="2"/>
        <v>45.32981306323626</v>
      </c>
      <c r="J12" s="24">
        <f t="shared" si="3"/>
        <v>86.69241035912376</v>
      </c>
      <c r="K12" s="21">
        <v>12378982.66</v>
      </c>
      <c r="L12" s="21">
        <v>11463260.33</v>
      </c>
      <c r="M12" s="25">
        <f t="shared" si="4"/>
        <v>0.07988323597637428</v>
      </c>
      <c r="N12" s="10"/>
      <c r="R12" s="2"/>
    </row>
    <row r="13" spans="1:18" ht="15.75">
      <c r="A13" s="19"/>
      <c r="B13" s="20">
        <f>DATE(2015,11,1)</f>
        <v>42309</v>
      </c>
      <c r="C13" s="21">
        <v>257636</v>
      </c>
      <c r="D13" s="22">
        <v>269524</v>
      </c>
      <c r="E13" s="23">
        <f t="shared" si="0"/>
        <v>-0.04410738932339977</v>
      </c>
      <c r="F13" s="21">
        <f>+C13-124268</f>
        <v>133368</v>
      </c>
      <c r="G13" s="21">
        <f>+D13-132202</f>
        <v>137322</v>
      </c>
      <c r="H13" s="23">
        <f t="shared" si="1"/>
        <v>-0.02879363830995762</v>
      </c>
      <c r="I13" s="24">
        <f t="shared" si="2"/>
        <v>44.65663412721825</v>
      </c>
      <c r="J13" s="24">
        <f t="shared" si="3"/>
        <v>86.26624520124767</v>
      </c>
      <c r="K13" s="21">
        <v>11505156.59</v>
      </c>
      <c r="L13" s="21">
        <v>11505720.63</v>
      </c>
      <c r="M13" s="25">
        <f t="shared" si="4"/>
        <v>-4.902257043598742E-05</v>
      </c>
      <c r="N13" s="10"/>
      <c r="R13" s="2"/>
    </row>
    <row r="14" spans="1:18" ht="15.75">
      <c r="A14" s="19"/>
      <c r="B14" s="20">
        <f>DATE(2015,12,1)</f>
        <v>42339</v>
      </c>
      <c r="C14" s="21">
        <v>288002</v>
      </c>
      <c r="D14" s="22">
        <v>280201</v>
      </c>
      <c r="E14" s="23">
        <f t="shared" si="0"/>
        <v>0.027840728619812207</v>
      </c>
      <c r="F14" s="21">
        <f>+C14-141617</f>
        <v>146385</v>
      </c>
      <c r="G14" s="21">
        <f>+D14-136103</f>
        <v>144098</v>
      </c>
      <c r="H14" s="23">
        <f t="shared" si="1"/>
        <v>0.015871143249732822</v>
      </c>
      <c r="I14" s="24">
        <f t="shared" si="2"/>
        <v>44.60124072055055</v>
      </c>
      <c r="J14" s="24">
        <f t="shared" si="3"/>
        <v>87.74974573897599</v>
      </c>
      <c r="K14" s="21">
        <v>12845246.53</v>
      </c>
      <c r="L14" s="21">
        <v>11820151.64</v>
      </c>
      <c r="M14" s="25">
        <f t="shared" si="4"/>
        <v>0.08672434341121521</v>
      </c>
      <c r="N14" s="10"/>
      <c r="R14" s="2"/>
    </row>
    <row r="15" spans="1:18" ht="15.75">
      <c r="A15" s="19"/>
      <c r="B15" s="20">
        <f>DATE(2016,1,1)</f>
        <v>42370</v>
      </c>
      <c r="C15" s="21">
        <v>292076</v>
      </c>
      <c r="D15" s="22">
        <v>279762</v>
      </c>
      <c r="E15" s="23">
        <f t="shared" si="0"/>
        <v>0.04401598501583489</v>
      </c>
      <c r="F15" s="21">
        <f>+C15-145423</f>
        <v>146653</v>
      </c>
      <c r="G15" s="21">
        <f>+D15-136377</f>
        <v>143385</v>
      </c>
      <c r="H15" s="23">
        <f t="shared" si="1"/>
        <v>0.02279178435680162</v>
      </c>
      <c r="I15" s="24">
        <f t="shared" si="2"/>
        <v>42.98817516673743</v>
      </c>
      <c r="J15" s="24">
        <f t="shared" si="3"/>
        <v>85.6158022679386</v>
      </c>
      <c r="K15" s="21">
        <v>12555814.25</v>
      </c>
      <c r="L15" s="21">
        <v>11823878.73</v>
      </c>
      <c r="M15" s="25">
        <f t="shared" si="4"/>
        <v>0.06190316534141242</v>
      </c>
      <c r="N15" s="10"/>
      <c r="R15" s="2"/>
    </row>
    <row r="16" spans="1:18" ht="15.75" customHeight="1" thickBot="1">
      <c r="A16" s="19"/>
      <c r="B16" s="20"/>
      <c r="C16" s="21"/>
      <c r="D16" s="21"/>
      <c r="E16" s="23"/>
      <c r="F16" s="21"/>
      <c r="G16" s="21"/>
      <c r="H16" s="23"/>
      <c r="I16" s="24"/>
      <c r="J16" s="24"/>
      <c r="K16" s="21"/>
      <c r="L16" s="21"/>
      <c r="M16" s="25"/>
      <c r="N16" s="10"/>
      <c r="R16" s="2"/>
    </row>
    <row r="17" spans="1:18" ht="17.25" thickBot="1" thickTop="1">
      <c r="A17" s="26" t="s">
        <v>14</v>
      </c>
      <c r="B17" s="27"/>
      <c r="C17" s="28">
        <f>SUM(C9:C16)</f>
        <v>1934881</v>
      </c>
      <c r="D17" s="28">
        <f>SUM(D9:D16)</f>
        <v>1888539</v>
      </c>
      <c r="E17" s="279">
        <f>(+C17-D17)/D17</f>
        <v>0.024538545404675254</v>
      </c>
      <c r="F17" s="28">
        <f>SUM(F9:F16)</f>
        <v>999873</v>
      </c>
      <c r="G17" s="28">
        <f>SUM(G9:G16)</f>
        <v>972212</v>
      </c>
      <c r="H17" s="30">
        <f>(+F17-G17)/G17</f>
        <v>0.028451613434106963</v>
      </c>
      <c r="I17" s="31">
        <f>K17/C17</f>
        <v>44.36861380105547</v>
      </c>
      <c r="J17" s="31">
        <f>K17/F17</f>
        <v>85.85889191927374</v>
      </c>
      <c r="K17" s="28">
        <f>SUM(K9:K16)</f>
        <v>85847987.84</v>
      </c>
      <c r="L17" s="28">
        <f>SUM(L9:L16)</f>
        <v>80548369.06000002</v>
      </c>
      <c r="M17" s="32">
        <f>(+K17-L17)/L17</f>
        <v>0.06579424067608781</v>
      </c>
      <c r="N17" s="10"/>
      <c r="R17" s="2"/>
    </row>
    <row r="18" spans="1:18" ht="15.75" customHeight="1" thickTop="1">
      <c r="A18" s="15"/>
      <c r="B18" s="16"/>
      <c r="C18" s="16"/>
      <c r="D18" s="16"/>
      <c r="E18" s="17"/>
      <c r="F18" s="16"/>
      <c r="G18" s="16"/>
      <c r="H18" s="17"/>
      <c r="I18" s="16"/>
      <c r="J18" s="16"/>
      <c r="K18" s="195"/>
      <c r="L18" s="195"/>
      <c r="M18" s="18"/>
      <c r="N18" s="10"/>
      <c r="R18" s="2"/>
    </row>
    <row r="19" spans="1:18" ht="15.75">
      <c r="A19" s="19" t="s">
        <v>15</v>
      </c>
      <c r="B19" s="20">
        <f>DATE(2015,7,1)</f>
        <v>42186</v>
      </c>
      <c r="C19" s="21">
        <v>164324</v>
      </c>
      <c r="D19" s="21">
        <v>174037</v>
      </c>
      <c r="E19" s="23">
        <f aca="true" t="shared" si="5" ref="E19:E25">(+C19-D19)/D19</f>
        <v>-0.05580997144285411</v>
      </c>
      <c r="F19" s="21">
        <f>+C19-76751</f>
        <v>87573</v>
      </c>
      <c r="G19" s="21">
        <f>+D19-81593</f>
        <v>92444</v>
      </c>
      <c r="H19" s="23">
        <f aca="true" t="shared" si="6" ref="H19:H25">(+F19-G19)/G19</f>
        <v>-0.052691359093072564</v>
      </c>
      <c r="I19" s="24">
        <f aca="true" t="shared" si="7" ref="I19:I25">K19/C19</f>
        <v>43.29568687471094</v>
      </c>
      <c r="J19" s="24">
        <f aca="true" t="shared" si="8" ref="J19:J25">K19/F19</f>
        <v>81.24102691468832</v>
      </c>
      <c r="K19" s="21">
        <v>7114520.45</v>
      </c>
      <c r="L19" s="21">
        <v>6930881.36</v>
      </c>
      <c r="M19" s="25">
        <f aca="true" t="shared" si="9" ref="M19:M25">(+K19-L19)/L19</f>
        <v>0.026495777443231238</v>
      </c>
      <c r="N19" s="10"/>
      <c r="R19" s="2"/>
    </row>
    <row r="20" spans="1:18" ht="15.75">
      <c r="A20" s="19"/>
      <c r="B20" s="20">
        <f>DATE(2015,8,1)</f>
        <v>42217</v>
      </c>
      <c r="C20" s="21">
        <v>158974</v>
      </c>
      <c r="D20" s="21">
        <v>180474</v>
      </c>
      <c r="E20" s="23">
        <f t="shared" si="5"/>
        <v>-0.11913073351286058</v>
      </c>
      <c r="F20" s="21">
        <f>+C20-74515</f>
        <v>84459</v>
      </c>
      <c r="G20" s="21">
        <f>+D20-84762</f>
        <v>95712</v>
      </c>
      <c r="H20" s="23">
        <f t="shared" si="6"/>
        <v>-0.11757146439317955</v>
      </c>
      <c r="I20" s="24">
        <f t="shared" si="7"/>
        <v>43.06633342559161</v>
      </c>
      <c r="J20" s="24">
        <f t="shared" si="8"/>
        <v>81.06214009164209</v>
      </c>
      <c r="K20" s="21">
        <v>6846427.29</v>
      </c>
      <c r="L20" s="21">
        <v>7164391.37</v>
      </c>
      <c r="M20" s="25">
        <f t="shared" si="9"/>
        <v>-0.04438117120896483</v>
      </c>
      <c r="N20" s="10"/>
      <c r="R20" s="2"/>
    </row>
    <row r="21" spans="1:18" ht="15.75">
      <c r="A21" s="19"/>
      <c r="B21" s="20">
        <f>DATE(2015,9,1)</f>
        <v>42248</v>
      </c>
      <c r="C21" s="21">
        <v>146143</v>
      </c>
      <c r="D21" s="21">
        <v>159026</v>
      </c>
      <c r="E21" s="23">
        <f t="shared" si="5"/>
        <v>-0.08101191000213802</v>
      </c>
      <c r="F21" s="21">
        <f>+C21-69315</f>
        <v>76828</v>
      </c>
      <c r="G21" s="21">
        <f>+D21-73696</f>
        <v>85330</v>
      </c>
      <c r="H21" s="23">
        <f t="shared" si="6"/>
        <v>-0.09963670455877183</v>
      </c>
      <c r="I21" s="24">
        <f t="shared" si="7"/>
        <v>43.931682119567824</v>
      </c>
      <c r="J21" s="24">
        <f t="shared" si="8"/>
        <v>83.5672908314677</v>
      </c>
      <c r="K21" s="21">
        <v>6420307.82</v>
      </c>
      <c r="L21" s="21">
        <v>6588351.74</v>
      </c>
      <c r="M21" s="25">
        <f t="shared" si="9"/>
        <v>-0.025506215610765177</v>
      </c>
      <c r="N21" s="10"/>
      <c r="R21" s="2"/>
    </row>
    <row r="22" spans="1:18" ht="15.75">
      <c r="A22" s="19"/>
      <c r="B22" s="20">
        <f>DATE(2015,10,1)</f>
        <v>42278</v>
      </c>
      <c r="C22" s="21">
        <v>149295</v>
      </c>
      <c r="D22" s="21">
        <v>161024</v>
      </c>
      <c r="E22" s="23">
        <f t="shared" si="5"/>
        <v>-0.07284007352941177</v>
      </c>
      <c r="F22" s="21">
        <f>+C22-72382</f>
        <v>76913</v>
      </c>
      <c r="G22" s="21">
        <f>+D22-74934</f>
        <v>86090</v>
      </c>
      <c r="H22" s="23">
        <f t="shared" si="6"/>
        <v>-0.10659774654431409</v>
      </c>
      <c r="I22" s="24">
        <f t="shared" si="7"/>
        <v>44.381484778458756</v>
      </c>
      <c r="J22" s="24">
        <f t="shared" si="8"/>
        <v>86.14842445360341</v>
      </c>
      <c r="K22" s="21">
        <v>6625933.77</v>
      </c>
      <c r="L22" s="21">
        <v>6490398.22</v>
      </c>
      <c r="M22" s="25">
        <f t="shared" si="9"/>
        <v>0.02088247059823701</v>
      </c>
      <c r="N22" s="10"/>
      <c r="R22" s="2"/>
    </row>
    <row r="23" spans="1:18" ht="15.75">
      <c r="A23" s="19"/>
      <c r="B23" s="20">
        <f>DATE(2015,11,1)</f>
        <v>42309</v>
      </c>
      <c r="C23" s="21">
        <v>138430</v>
      </c>
      <c r="D23" s="21">
        <v>153994</v>
      </c>
      <c r="E23" s="23">
        <f t="shared" si="5"/>
        <v>-0.10106887281322649</v>
      </c>
      <c r="F23" s="21">
        <f>+C23-67165</f>
        <v>71265</v>
      </c>
      <c r="G23" s="21">
        <f>+D23-72262</f>
        <v>81732</v>
      </c>
      <c r="H23" s="23">
        <f t="shared" si="6"/>
        <v>-0.1280648950227573</v>
      </c>
      <c r="I23" s="24">
        <f t="shared" si="7"/>
        <v>45.99079404753305</v>
      </c>
      <c r="J23" s="24">
        <f t="shared" si="8"/>
        <v>89.33565733529784</v>
      </c>
      <c r="K23" s="21">
        <v>6366505.62</v>
      </c>
      <c r="L23" s="21">
        <v>6234182.45</v>
      </c>
      <c r="M23" s="25">
        <f t="shared" si="9"/>
        <v>0.021225424674569785</v>
      </c>
      <c r="N23" s="10"/>
      <c r="R23" s="2"/>
    </row>
    <row r="24" spans="1:18" ht="15.75">
      <c r="A24" s="19"/>
      <c r="B24" s="20">
        <f>DATE(2015,12,1)</f>
        <v>42339</v>
      </c>
      <c r="C24" s="21">
        <v>150061</v>
      </c>
      <c r="D24" s="21">
        <v>151845</v>
      </c>
      <c r="E24" s="23">
        <f t="shared" si="5"/>
        <v>-0.011748822812736672</v>
      </c>
      <c r="F24" s="21">
        <f>+C24-72702</f>
        <v>77359</v>
      </c>
      <c r="G24" s="21">
        <f>+D24-71267</f>
        <v>80578</v>
      </c>
      <c r="H24" s="23">
        <f t="shared" si="6"/>
        <v>-0.03994886941845169</v>
      </c>
      <c r="I24" s="24">
        <f t="shared" si="7"/>
        <v>44.562566556267114</v>
      </c>
      <c r="J24" s="24">
        <f t="shared" si="8"/>
        <v>86.44247340322393</v>
      </c>
      <c r="K24" s="21">
        <v>6687103.3</v>
      </c>
      <c r="L24" s="21">
        <v>6395584.21</v>
      </c>
      <c r="M24" s="25">
        <f t="shared" si="9"/>
        <v>0.04558130741898243</v>
      </c>
      <c r="N24" s="10"/>
      <c r="R24" s="2"/>
    </row>
    <row r="25" spans="1:18" ht="15.75">
      <c r="A25" s="19"/>
      <c r="B25" s="20">
        <f>DATE(2016,1,1)</f>
        <v>42370</v>
      </c>
      <c r="C25" s="21">
        <v>146367</v>
      </c>
      <c r="D25" s="21">
        <v>165473</v>
      </c>
      <c r="E25" s="23">
        <f t="shared" si="5"/>
        <v>-0.11546294561650541</v>
      </c>
      <c r="F25" s="21">
        <f>+C25-72129</f>
        <v>74238</v>
      </c>
      <c r="G25" s="21">
        <f>+D25-80370</f>
        <v>85103</v>
      </c>
      <c r="H25" s="23">
        <f t="shared" si="6"/>
        <v>-0.12766882483578723</v>
      </c>
      <c r="I25" s="24">
        <f t="shared" si="7"/>
        <v>44.648504444307804</v>
      </c>
      <c r="J25" s="24">
        <f t="shared" si="8"/>
        <v>88.02860596998842</v>
      </c>
      <c r="K25" s="21">
        <v>6535067.65</v>
      </c>
      <c r="L25" s="21">
        <v>6978043.21</v>
      </c>
      <c r="M25" s="25">
        <f t="shared" si="9"/>
        <v>-0.06348134379064695</v>
      </c>
      <c r="N25" s="10"/>
      <c r="R25" s="2"/>
    </row>
    <row r="26" spans="1:18" ht="15.75" customHeight="1" thickBot="1">
      <c r="A26" s="19"/>
      <c r="B26" s="20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customHeight="1" thickBot="1" thickTop="1">
      <c r="A27" s="26" t="s">
        <v>14</v>
      </c>
      <c r="B27" s="27"/>
      <c r="C27" s="28">
        <f>SUM(C19:C26)</f>
        <v>1053594</v>
      </c>
      <c r="D27" s="28">
        <f>SUM(D19:D26)</f>
        <v>1145873</v>
      </c>
      <c r="E27" s="279">
        <f>(+C27-D27)/D27</f>
        <v>-0.08053161214200875</v>
      </c>
      <c r="F27" s="28">
        <f>SUM(F19:F26)</f>
        <v>548635</v>
      </c>
      <c r="G27" s="28">
        <f>SUM(G19:G26)</f>
        <v>606989</v>
      </c>
      <c r="H27" s="30">
        <f>(+F27-G27)/G27</f>
        <v>-0.09613683279268652</v>
      </c>
      <c r="I27" s="31">
        <f>K27/C27</f>
        <v>44.2256371049949</v>
      </c>
      <c r="J27" s="31">
        <f>K27/F27</f>
        <v>84.9305383360522</v>
      </c>
      <c r="K27" s="28">
        <f>SUM(K19:K26)</f>
        <v>46595865.9</v>
      </c>
      <c r="L27" s="28">
        <f>SUM(L19:L26)</f>
        <v>46781832.559999995</v>
      </c>
      <c r="M27" s="32">
        <f>(+K27-L27)/L27</f>
        <v>-0.0039751897226660594</v>
      </c>
      <c r="N27" s="10"/>
      <c r="R27" s="2"/>
    </row>
    <row r="28" spans="1:18" ht="15.75" customHeight="1" thickTop="1">
      <c r="A28" s="33"/>
      <c r="B28" s="34"/>
      <c r="C28" s="35"/>
      <c r="D28" s="35"/>
      <c r="E28" s="29"/>
      <c r="F28" s="35"/>
      <c r="G28" s="35"/>
      <c r="H28" s="29"/>
      <c r="I28" s="36"/>
      <c r="J28" s="36"/>
      <c r="K28" s="35"/>
      <c r="L28" s="35"/>
      <c r="M28" s="37"/>
      <c r="N28" s="10"/>
      <c r="R28" s="2"/>
    </row>
    <row r="29" spans="1:18" ht="15.75" customHeight="1">
      <c r="A29" s="19" t="s">
        <v>56</v>
      </c>
      <c r="B29" s="20">
        <f>DATE(2015,7,1)</f>
        <v>42186</v>
      </c>
      <c r="C29" s="21">
        <v>78226</v>
      </c>
      <c r="D29" s="21">
        <v>72401</v>
      </c>
      <c r="E29" s="23">
        <f aca="true" t="shared" si="10" ref="E29:E35">(+C29-D29)/D29</f>
        <v>0.0804546898523501</v>
      </c>
      <c r="F29" s="21">
        <f>+C29-41895</f>
        <v>36331</v>
      </c>
      <c r="G29" s="21">
        <f>+D29-40333</f>
        <v>32068</v>
      </c>
      <c r="H29" s="23">
        <f aca="true" t="shared" si="11" ref="H29:H35">(+F29-G29)/G29</f>
        <v>0.13293626044655107</v>
      </c>
      <c r="I29" s="24">
        <f aca="true" t="shared" si="12" ref="I29:I35">K29/C29</f>
        <v>40.233931812952214</v>
      </c>
      <c r="J29" s="24">
        <f aca="true" t="shared" si="13" ref="J29:J35">K29/F29</f>
        <v>86.62958767994274</v>
      </c>
      <c r="K29" s="21">
        <v>3147339.55</v>
      </c>
      <c r="L29" s="21">
        <v>2763636.3</v>
      </c>
      <c r="M29" s="25">
        <f aca="true" t="shared" si="14" ref="M29:M35">(+K29-L29)/L29</f>
        <v>0.13883999497328936</v>
      </c>
      <c r="N29" s="10"/>
      <c r="R29" s="2"/>
    </row>
    <row r="30" spans="1:18" ht="15.75" customHeight="1">
      <c r="A30" s="19"/>
      <c r="B30" s="20">
        <f>DATE(2015,8,1)</f>
        <v>42217</v>
      </c>
      <c r="C30" s="21">
        <v>76190</v>
      </c>
      <c r="D30" s="21">
        <v>78277</v>
      </c>
      <c r="E30" s="23">
        <f t="shared" si="10"/>
        <v>-0.02666172694405764</v>
      </c>
      <c r="F30" s="21">
        <f>+C30-42305</f>
        <v>33885</v>
      </c>
      <c r="G30" s="21">
        <f>+D30-44305</f>
        <v>33972</v>
      </c>
      <c r="H30" s="23">
        <f t="shared" si="11"/>
        <v>-0.0025609325326739667</v>
      </c>
      <c r="I30" s="24">
        <f t="shared" si="12"/>
        <v>39.02278015487597</v>
      </c>
      <c r="J30" s="24">
        <f t="shared" si="13"/>
        <v>87.7422346170872</v>
      </c>
      <c r="K30" s="21">
        <v>2973145.62</v>
      </c>
      <c r="L30" s="21">
        <v>2998372.97</v>
      </c>
      <c r="M30" s="25">
        <f t="shared" si="14"/>
        <v>-0.008413679769798649</v>
      </c>
      <c r="N30" s="10"/>
      <c r="R30" s="2"/>
    </row>
    <row r="31" spans="1:18" ht="15.75" customHeight="1">
      <c r="A31" s="19"/>
      <c r="B31" s="20">
        <f>DATE(2015,9,1)</f>
        <v>42248</v>
      </c>
      <c r="C31" s="21">
        <v>75613</v>
      </c>
      <c r="D31" s="21">
        <v>63778</v>
      </c>
      <c r="E31" s="23">
        <f t="shared" si="10"/>
        <v>0.18556555552071247</v>
      </c>
      <c r="F31" s="21">
        <f>+C31-41529</f>
        <v>34084</v>
      </c>
      <c r="G31" s="21">
        <f>+D31-35884</f>
        <v>27894</v>
      </c>
      <c r="H31" s="23">
        <f t="shared" si="11"/>
        <v>0.22191152219115223</v>
      </c>
      <c r="I31" s="24">
        <f t="shared" si="12"/>
        <v>38.98131062118948</v>
      </c>
      <c r="J31" s="24">
        <f t="shared" si="13"/>
        <v>86.47734538199741</v>
      </c>
      <c r="K31" s="21">
        <v>2947493.84</v>
      </c>
      <c r="L31" s="21">
        <v>2596370.28</v>
      </c>
      <c r="M31" s="25">
        <f t="shared" si="14"/>
        <v>0.13523631922023083</v>
      </c>
      <c r="N31" s="10"/>
      <c r="R31" s="2"/>
    </row>
    <row r="32" spans="1:18" ht="15.75" customHeight="1">
      <c r="A32" s="19"/>
      <c r="B32" s="20">
        <f>DATE(2015,10,1)</f>
        <v>42278</v>
      </c>
      <c r="C32" s="21">
        <v>72400</v>
      </c>
      <c r="D32" s="21">
        <v>68120</v>
      </c>
      <c r="E32" s="23">
        <f t="shared" si="10"/>
        <v>0.06283029947152084</v>
      </c>
      <c r="F32" s="21">
        <f>+C32-40475</f>
        <v>31925</v>
      </c>
      <c r="G32" s="21">
        <f>+D32-39168</f>
        <v>28952</v>
      </c>
      <c r="H32" s="23">
        <f t="shared" si="11"/>
        <v>0.10268720641061066</v>
      </c>
      <c r="I32" s="24">
        <f t="shared" si="12"/>
        <v>42.732071961325964</v>
      </c>
      <c r="J32" s="24">
        <f t="shared" si="13"/>
        <v>96.90844197337509</v>
      </c>
      <c r="K32" s="21">
        <v>3093802.01</v>
      </c>
      <c r="L32" s="21">
        <v>2578417.74</v>
      </c>
      <c r="M32" s="25">
        <f t="shared" si="14"/>
        <v>0.19988392959164153</v>
      </c>
      <c r="N32" s="10"/>
      <c r="R32" s="2"/>
    </row>
    <row r="33" spans="1:18" ht="15.75" customHeight="1">
      <c r="A33" s="19"/>
      <c r="B33" s="20">
        <f>DATE(2015,11,1)</f>
        <v>42309</v>
      </c>
      <c r="C33" s="21">
        <v>67800</v>
      </c>
      <c r="D33" s="21">
        <v>70883</v>
      </c>
      <c r="E33" s="23">
        <f t="shared" si="10"/>
        <v>-0.043494208766558975</v>
      </c>
      <c r="F33" s="21">
        <f>+C33-38232</f>
        <v>29568</v>
      </c>
      <c r="G33" s="21">
        <f>+D33-40956</f>
        <v>29927</v>
      </c>
      <c r="H33" s="23">
        <f t="shared" si="11"/>
        <v>-0.011995856584355265</v>
      </c>
      <c r="I33" s="24">
        <f t="shared" si="12"/>
        <v>41.07879926253687</v>
      </c>
      <c r="J33" s="24">
        <f t="shared" si="13"/>
        <v>94.19448694534631</v>
      </c>
      <c r="K33" s="21">
        <v>2785142.59</v>
      </c>
      <c r="L33" s="21">
        <v>2753920.21</v>
      </c>
      <c r="M33" s="25">
        <f t="shared" si="14"/>
        <v>0.011337430869139048</v>
      </c>
      <c r="N33" s="10"/>
      <c r="R33" s="2"/>
    </row>
    <row r="34" spans="1:18" ht="15.75" customHeight="1">
      <c r="A34" s="19"/>
      <c r="B34" s="20">
        <f>DATE(2015,12,1)</f>
        <v>42339</v>
      </c>
      <c r="C34" s="21">
        <v>73844</v>
      </c>
      <c r="D34" s="21">
        <v>72435</v>
      </c>
      <c r="E34" s="23">
        <f t="shared" si="10"/>
        <v>0.019451922413198038</v>
      </c>
      <c r="F34" s="21">
        <f>+C34-41423</f>
        <v>32421</v>
      </c>
      <c r="G34" s="21">
        <f>+D34-41824</f>
        <v>30611</v>
      </c>
      <c r="H34" s="23">
        <f t="shared" si="11"/>
        <v>0.059129071248897457</v>
      </c>
      <c r="I34" s="24">
        <f t="shared" si="12"/>
        <v>41.04236715237528</v>
      </c>
      <c r="J34" s="24">
        <f t="shared" si="13"/>
        <v>93.48053915671942</v>
      </c>
      <c r="K34" s="21">
        <v>3030732.56</v>
      </c>
      <c r="L34" s="21">
        <v>2781471.67</v>
      </c>
      <c r="M34" s="25">
        <f t="shared" si="14"/>
        <v>0.0896147505971183</v>
      </c>
      <c r="N34" s="10"/>
      <c r="R34" s="2"/>
    </row>
    <row r="35" spans="1:18" ht="15.75" customHeight="1">
      <c r="A35" s="19"/>
      <c r="B35" s="20">
        <f>DATE(2016,1,1)</f>
        <v>42370</v>
      </c>
      <c r="C35" s="21">
        <v>66376</v>
      </c>
      <c r="D35" s="21">
        <v>73408</v>
      </c>
      <c r="E35" s="23">
        <f t="shared" si="10"/>
        <v>-0.09579337401918048</v>
      </c>
      <c r="F35" s="21">
        <f>+C35-37573</f>
        <v>28803</v>
      </c>
      <c r="G35" s="21">
        <f>+D35-42874</f>
        <v>30534</v>
      </c>
      <c r="H35" s="23">
        <f t="shared" si="11"/>
        <v>-0.05669090194537237</v>
      </c>
      <c r="I35" s="24">
        <f t="shared" si="12"/>
        <v>40.85852552127275</v>
      </c>
      <c r="J35" s="24">
        <f t="shared" si="13"/>
        <v>94.15774363781551</v>
      </c>
      <c r="K35" s="21">
        <v>2712025.49</v>
      </c>
      <c r="L35" s="21">
        <v>2810148.3</v>
      </c>
      <c r="M35" s="25">
        <f t="shared" si="14"/>
        <v>-0.03491730667737343</v>
      </c>
      <c r="N35" s="10"/>
      <c r="R35" s="2"/>
    </row>
    <row r="36" spans="1:18" ht="15.75" customHeight="1" thickBot="1">
      <c r="A36" s="38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Bot="1" thickTop="1">
      <c r="A37" s="39" t="s">
        <v>14</v>
      </c>
      <c r="B37" s="40"/>
      <c r="C37" s="41">
        <f>SUM(C29:C36)</f>
        <v>510449</v>
      </c>
      <c r="D37" s="41">
        <f>SUM(D29:D36)</f>
        <v>499302</v>
      </c>
      <c r="E37" s="280">
        <f>(+C37-D37)/D37</f>
        <v>0.02232516593164057</v>
      </c>
      <c r="F37" s="41">
        <f>SUM(F29:F36)</f>
        <v>227017</v>
      </c>
      <c r="G37" s="41">
        <f>SUM(G29:G36)</f>
        <v>213958</v>
      </c>
      <c r="H37" s="42">
        <f>(+F37-G37)/G37</f>
        <v>0.061035343385150355</v>
      </c>
      <c r="I37" s="43">
        <f>K37/C37</f>
        <v>40.53231891922601</v>
      </c>
      <c r="J37" s="43">
        <f>K37/F37</f>
        <v>91.13714682160365</v>
      </c>
      <c r="K37" s="41">
        <f>SUM(K29:K36)</f>
        <v>20689681.659999996</v>
      </c>
      <c r="L37" s="41">
        <f>SUM(L29:L36)</f>
        <v>19282337.47</v>
      </c>
      <c r="M37" s="44">
        <f>(+K37-L37)/L37</f>
        <v>0.07298618189779031</v>
      </c>
      <c r="N37" s="10"/>
      <c r="R37" s="2"/>
    </row>
    <row r="38" spans="1:18" ht="15.75" customHeight="1" thickTop="1">
      <c r="A38" s="38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 customHeight="1">
      <c r="A39" s="177" t="s">
        <v>65</v>
      </c>
      <c r="B39" s="20">
        <f>DATE(2015,7,1)</f>
        <v>42186</v>
      </c>
      <c r="C39" s="21">
        <v>494900</v>
      </c>
      <c r="D39" s="21">
        <v>421533</v>
      </c>
      <c r="E39" s="23">
        <f aca="true" t="shared" si="15" ref="E39:E45">(+C39-D39)/D39</f>
        <v>0.17404805792191833</v>
      </c>
      <c r="F39" s="21">
        <f>+C39-253523</f>
        <v>241377</v>
      </c>
      <c r="G39" s="21">
        <f>+D39-215434</f>
        <v>206099</v>
      </c>
      <c r="H39" s="23">
        <f aca="true" t="shared" si="16" ref="H39:H45">(+F39-G39)/G39</f>
        <v>0.17117016579410865</v>
      </c>
      <c r="I39" s="24">
        <f aca="true" t="shared" si="17" ref="I39:I45">K39/C39</f>
        <v>42.1644828854314</v>
      </c>
      <c r="J39" s="24">
        <f aca="true" t="shared" si="18" ref="J39:J45">K39/F39</f>
        <v>86.45066671638142</v>
      </c>
      <c r="K39" s="21">
        <v>20867202.58</v>
      </c>
      <c r="L39" s="21">
        <v>19047462.93</v>
      </c>
      <c r="M39" s="25">
        <f aca="true" t="shared" si="19" ref="M39:M45">(+K39-L39)/L39</f>
        <v>0.09553711466391071</v>
      </c>
      <c r="N39" s="10"/>
      <c r="R39" s="2"/>
    </row>
    <row r="40" spans="1:18" ht="15.75" customHeight="1">
      <c r="A40" s="177"/>
      <c r="B40" s="20">
        <f>DATE(2015,8,1)</f>
        <v>42217</v>
      </c>
      <c r="C40" s="21">
        <v>472774</v>
      </c>
      <c r="D40" s="21">
        <v>422369</v>
      </c>
      <c r="E40" s="23">
        <f t="shared" si="15"/>
        <v>0.1193387772303365</v>
      </c>
      <c r="F40" s="21">
        <f>+C40-244366</f>
        <v>228408</v>
      </c>
      <c r="G40" s="21">
        <f>+D40-216914</f>
        <v>205455</v>
      </c>
      <c r="H40" s="23">
        <f t="shared" si="16"/>
        <v>0.11171789442943711</v>
      </c>
      <c r="I40" s="24">
        <f t="shared" si="17"/>
        <v>42.89571638880311</v>
      </c>
      <c r="J40" s="24">
        <f t="shared" si="18"/>
        <v>88.78839366396974</v>
      </c>
      <c r="K40" s="21">
        <v>20279979.42</v>
      </c>
      <c r="L40" s="21">
        <v>18010712.78</v>
      </c>
      <c r="M40" s="25">
        <f t="shared" si="19"/>
        <v>0.12599538217720668</v>
      </c>
      <c r="N40" s="10"/>
      <c r="R40" s="2"/>
    </row>
    <row r="41" spans="1:18" ht="15.75" customHeight="1">
      <c r="A41" s="177"/>
      <c r="B41" s="20">
        <f>DATE(2015,9,1)</f>
        <v>42248</v>
      </c>
      <c r="C41" s="21">
        <v>426295</v>
      </c>
      <c r="D41" s="21">
        <v>375953</v>
      </c>
      <c r="E41" s="23">
        <f t="shared" si="15"/>
        <v>0.13390503600184064</v>
      </c>
      <c r="F41" s="21">
        <f>+C41-222099</f>
        <v>204196</v>
      </c>
      <c r="G41" s="21">
        <f>+D41-189575</f>
        <v>186378</v>
      </c>
      <c r="H41" s="23">
        <f t="shared" si="16"/>
        <v>0.09560141218384144</v>
      </c>
      <c r="I41" s="24">
        <f t="shared" si="17"/>
        <v>41.673228351259105</v>
      </c>
      <c r="J41" s="24">
        <f t="shared" si="18"/>
        <v>87.0001806107857</v>
      </c>
      <c r="K41" s="21">
        <v>17765088.88</v>
      </c>
      <c r="L41" s="21">
        <v>16482379.37</v>
      </c>
      <c r="M41" s="25">
        <f t="shared" si="19"/>
        <v>0.07782307888961057</v>
      </c>
      <c r="N41" s="10"/>
      <c r="R41" s="2"/>
    </row>
    <row r="42" spans="1:18" ht="15.75" customHeight="1">
      <c r="A42" s="177"/>
      <c r="B42" s="20">
        <f>DATE(2015,10,1)</f>
        <v>42278</v>
      </c>
      <c r="C42" s="21">
        <v>431355</v>
      </c>
      <c r="D42" s="21">
        <v>409850</v>
      </c>
      <c r="E42" s="23">
        <f t="shared" si="15"/>
        <v>0.0524704160058558</v>
      </c>
      <c r="F42" s="21">
        <f>+C42-225238</f>
        <v>206117</v>
      </c>
      <c r="G42" s="21">
        <f>+D42-207246</f>
        <v>202604</v>
      </c>
      <c r="H42" s="23">
        <f t="shared" si="16"/>
        <v>0.017339243055418452</v>
      </c>
      <c r="I42" s="24">
        <f t="shared" si="17"/>
        <v>43.315313535255186</v>
      </c>
      <c r="J42" s="24">
        <f t="shared" si="18"/>
        <v>90.64888907756274</v>
      </c>
      <c r="K42" s="21">
        <v>18684277.07</v>
      </c>
      <c r="L42" s="21">
        <v>18107850.71</v>
      </c>
      <c r="M42" s="25">
        <f t="shared" si="19"/>
        <v>0.031832952967834546</v>
      </c>
      <c r="N42" s="10"/>
      <c r="R42" s="2"/>
    </row>
    <row r="43" spans="1:18" ht="15.75" customHeight="1">
      <c r="A43" s="177"/>
      <c r="B43" s="20">
        <f>DATE(2015,11,1)</f>
        <v>42309</v>
      </c>
      <c r="C43" s="21">
        <v>420050</v>
      </c>
      <c r="D43" s="21">
        <v>406554</v>
      </c>
      <c r="E43" s="23">
        <f t="shared" si="15"/>
        <v>0.03319608219326338</v>
      </c>
      <c r="F43" s="21">
        <f>+C43-218810</f>
        <v>201240</v>
      </c>
      <c r="G43" s="21">
        <f>+D43-206259</f>
        <v>200295</v>
      </c>
      <c r="H43" s="23">
        <f t="shared" si="16"/>
        <v>0.00471804088968771</v>
      </c>
      <c r="I43" s="24">
        <f t="shared" si="17"/>
        <v>42.404375883823356</v>
      </c>
      <c r="J43" s="24">
        <f t="shared" si="18"/>
        <v>88.51102211290002</v>
      </c>
      <c r="K43" s="21">
        <v>17811958.09</v>
      </c>
      <c r="L43" s="21">
        <v>17199174.3</v>
      </c>
      <c r="M43" s="25">
        <f t="shared" si="19"/>
        <v>0.03562867491842321</v>
      </c>
      <c r="N43" s="10"/>
      <c r="R43" s="2"/>
    </row>
    <row r="44" spans="1:18" ht="15.75" customHeight="1">
      <c r="A44" s="177"/>
      <c r="B44" s="20">
        <f>DATE(2015,12,1)</f>
        <v>42339</v>
      </c>
      <c r="C44" s="21">
        <v>446138</v>
      </c>
      <c r="D44" s="21">
        <v>430657</v>
      </c>
      <c r="E44" s="23">
        <f t="shared" si="15"/>
        <v>0.03594740129615912</v>
      </c>
      <c r="F44" s="21">
        <f>+C44-234981</f>
        <v>211157</v>
      </c>
      <c r="G44" s="21">
        <f>+D44-224689</f>
        <v>205968</v>
      </c>
      <c r="H44" s="23">
        <f t="shared" si="16"/>
        <v>0.025193233900411713</v>
      </c>
      <c r="I44" s="24">
        <f t="shared" si="17"/>
        <v>40.96598807992146</v>
      </c>
      <c r="J44" s="24">
        <f t="shared" si="18"/>
        <v>86.55400479264243</v>
      </c>
      <c r="K44" s="21">
        <v>18276483.99</v>
      </c>
      <c r="L44" s="21">
        <v>17749396.77</v>
      </c>
      <c r="M44" s="25">
        <f t="shared" si="19"/>
        <v>0.029696063862343802</v>
      </c>
      <c r="N44" s="10"/>
      <c r="R44" s="2"/>
    </row>
    <row r="45" spans="1:18" ht="15.75" customHeight="1">
      <c r="A45" s="177"/>
      <c r="B45" s="20">
        <f>DATE(2016,1,1)</f>
        <v>42370</v>
      </c>
      <c r="C45" s="21">
        <v>453881</v>
      </c>
      <c r="D45" s="21">
        <v>444117</v>
      </c>
      <c r="E45" s="23">
        <f t="shared" si="15"/>
        <v>0.02198519759432762</v>
      </c>
      <c r="F45" s="21">
        <f>+C45-243648</f>
        <v>210233</v>
      </c>
      <c r="G45" s="21">
        <f>+D45-238744</f>
        <v>205373</v>
      </c>
      <c r="H45" s="23">
        <f t="shared" si="16"/>
        <v>0.023664259664123326</v>
      </c>
      <c r="I45" s="24">
        <f t="shared" si="17"/>
        <v>41.02117953824901</v>
      </c>
      <c r="J45" s="24">
        <f t="shared" si="18"/>
        <v>88.56237598283808</v>
      </c>
      <c r="K45" s="21">
        <v>18618733.99</v>
      </c>
      <c r="L45" s="21">
        <v>17897316.43</v>
      </c>
      <c r="M45" s="25">
        <f t="shared" si="19"/>
        <v>0.04030870006805812</v>
      </c>
      <c r="N45" s="10"/>
      <c r="R45" s="2"/>
    </row>
    <row r="46" spans="1:18" ht="15.75" thickBot="1">
      <c r="A46" s="38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Bot="1" thickTop="1">
      <c r="A47" s="39" t="s">
        <v>14</v>
      </c>
      <c r="B47" s="40"/>
      <c r="C47" s="41">
        <f>SUM(C39:C46)</f>
        <v>3145393</v>
      </c>
      <c r="D47" s="41">
        <f>SUM(D39:D46)</f>
        <v>2911033</v>
      </c>
      <c r="E47" s="280">
        <f>(+C47-D47)/D47</f>
        <v>0.08050750369370598</v>
      </c>
      <c r="F47" s="41">
        <f>SUM(F39:F46)</f>
        <v>1502728</v>
      </c>
      <c r="G47" s="41">
        <f>SUM(G39:G46)</f>
        <v>1412172</v>
      </c>
      <c r="H47" s="42">
        <f>(+F47-G47)/G47</f>
        <v>0.06412533317471243</v>
      </c>
      <c r="I47" s="43">
        <f>K47/C47</f>
        <v>42.06270059734983</v>
      </c>
      <c r="J47" s="43">
        <f>K47/F47</f>
        <v>88.04236296921331</v>
      </c>
      <c r="K47" s="41">
        <f>SUM(K39:K46)</f>
        <v>132303724.01999998</v>
      </c>
      <c r="L47" s="41">
        <f>SUM(L39:L46)</f>
        <v>124494293.28999999</v>
      </c>
      <c r="M47" s="44">
        <f>(+K47-L47)/L47</f>
        <v>0.06272922656630144</v>
      </c>
      <c r="N47" s="10"/>
      <c r="R47" s="2"/>
    </row>
    <row r="48" spans="1:18" ht="15.75" thickTop="1">
      <c r="A48" s="38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.75">
      <c r="A49" s="19" t="s">
        <v>16</v>
      </c>
      <c r="B49" s="20">
        <f>DATE(2015,7,1)</f>
        <v>42186</v>
      </c>
      <c r="C49" s="21">
        <v>319208</v>
      </c>
      <c r="D49" s="21">
        <v>319198</v>
      </c>
      <c r="E49" s="23">
        <f aca="true" t="shared" si="20" ref="E49:E55">(+C49-D49)/D49</f>
        <v>3.132851709597178E-05</v>
      </c>
      <c r="F49" s="21">
        <f>+C49-150159</f>
        <v>169049</v>
      </c>
      <c r="G49" s="21">
        <f>+D49-151618</f>
        <v>167580</v>
      </c>
      <c r="H49" s="23">
        <f aca="true" t="shared" si="21" ref="H49:H55">(+F49-G49)/G49</f>
        <v>0.008765962525361022</v>
      </c>
      <c r="I49" s="24">
        <f aca="true" t="shared" si="22" ref="I49:I55">K49/C49</f>
        <v>44.95453509937094</v>
      </c>
      <c r="J49" s="24">
        <f aca="true" t="shared" si="23" ref="J49:J55">K49/F49</f>
        <v>84.88572686025945</v>
      </c>
      <c r="K49" s="21">
        <v>14349847.24</v>
      </c>
      <c r="L49" s="21">
        <v>14419954.22</v>
      </c>
      <c r="M49" s="25">
        <f aca="true" t="shared" si="24" ref="M49:M55">(+K49-L49)/L49</f>
        <v>-0.004861803229774779</v>
      </c>
      <c r="N49" s="10"/>
      <c r="R49" s="2"/>
    </row>
    <row r="50" spans="1:18" ht="15.75">
      <c r="A50" s="19"/>
      <c r="B50" s="20">
        <f>DATE(2015,8,1)</f>
        <v>42217</v>
      </c>
      <c r="C50" s="21">
        <v>315655</v>
      </c>
      <c r="D50" s="21">
        <v>344204</v>
      </c>
      <c r="E50" s="23">
        <f t="shared" si="20"/>
        <v>-0.0829420924800409</v>
      </c>
      <c r="F50" s="21">
        <f>+C50-148337</f>
        <v>167318</v>
      </c>
      <c r="G50" s="21">
        <f>+D50-162416</f>
        <v>181788</v>
      </c>
      <c r="H50" s="23">
        <f t="shared" si="21"/>
        <v>-0.07959821330340837</v>
      </c>
      <c r="I50" s="24">
        <f t="shared" si="22"/>
        <v>44.9722444757726</v>
      </c>
      <c r="J50" s="24">
        <f t="shared" si="23"/>
        <v>84.84271763946496</v>
      </c>
      <c r="K50" s="21">
        <v>14195713.83</v>
      </c>
      <c r="L50" s="21">
        <v>14750519.41</v>
      </c>
      <c r="M50" s="25">
        <f t="shared" si="24"/>
        <v>-0.03761261312763495</v>
      </c>
      <c r="N50" s="10"/>
      <c r="R50" s="2"/>
    </row>
    <row r="51" spans="1:18" ht="15.75">
      <c r="A51" s="19"/>
      <c r="B51" s="20">
        <f>DATE(2015,9,1)</f>
        <v>42248</v>
      </c>
      <c r="C51" s="21">
        <v>293454</v>
      </c>
      <c r="D51" s="21">
        <v>313842</v>
      </c>
      <c r="E51" s="23">
        <f t="shared" si="20"/>
        <v>-0.06496262450532433</v>
      </c>
      <c r="F51" s="21">
        <f>+C51-136436</f>
        <v>157018</v>
      </c>
      <c r="G51" s="21">
        <f>+D51-147906</f>
        <v>165936</v>
      </c>
      <c r="H51" s="23">
        <f t="shared" si="21"/>
        <v>-0.05374361199498602</v>
      </c>
      <c r="I51" s="24">
        <f t="shared" si="22"/>
        <v>44.27817126363928</v>
      </c>
      <c r="J51" s="24">
        <f t="shared" si="23"/>
        <v>82.75233712058491</v>
      </c>
      <c r="K51" s="21">
        <v>12993606.47</v>
      </c>
      <c r="L51" s="21">
        <v>14233727.27</v>
      </c>
      <c r="M51" s="25">
        <f t="shared" si="24"/>
        <v>-0.08712551368142091</v>
      </c>
      <c r="N51" s="10"/>
      <c r="R51" s="2"/>
    </row>
    <row r="52" spans="1:18" ht="15.75">
      <c r="A52" s="19"/>
      <c r="B52" s="20">
        <f>DATE(2015,10,1)</f>
        <v>42278</v>
      </c>
      <c r="C52" s="21">
        <v>315071</v>
      </c>
      <c r="D52" s="21">
        <v>313776</v>
      </c>
      <c r="E52" s="23">
        <f t="shared" si="20"/>
        <v>0.004127148029167304</v>
      </c>
      <c r="F52" s="21">
        <f>+C52-148719</f>
        <v>166352</v>
      </c>
      <c r="G52" s="21">
        <f>+D52-151498</f>
        <v>162278</v>
      </c>
      <c r="H52" s="23">
        <f t="shared" si="21"/>
        <v>0.025105066614082006</v>
      </c>
      <c r="I52" s="24">
        <f t="shared" si="22"/>
        <v>51.82021198396552</v>
      </c>
      <c r="J52" s="24">
        <f t="shared" si="23"/>
        <v>98.14757868856401</v>
      </c>
      <c r="K52" s="21">
        <v>16327046.01</v>
      </c>
      <c r="L52" s="21">
        <v>14691214.89</v>
      </c>
      <c r="M52" s="25">
        <f t="shared" si="24"/>
        <v>0.11134757283507403</v>
      </c>
      <c r="N52" s="10"/>
      <c r="R52" s="2"/>
    </row>
    <row r="53" spans="1:18" ht="15.75">
      <c r="A53" s="19"/>
      <c r="B53" s="20">
        <f>DATE(2015,11,1)</f>
        <v>42309</v>
      </c>
      <c r="C53" s="21">
        <v>297332</v>
      </c>
      <c r="D53" s="21">
        <v>315173</v>
      </c>
      <c r="E53" s="23">
        <f t="shared" si="20"/>
        <v>-0.056607006310819774</v>
      </c>
      <c r="F53" s="21">
        <f>+C53-141416</f>
        <v>155916</v>
      </c>
      <c r="G53" s="21">
        <f>+D53-150832</f>
        <v>164341</v>
      </c>
      <c r="H53" s="23">
        <f t="shared" si="21"/>
        <v>-0.05126535678862852</v>
      </c>
      <c r="I53" s="24">
        <f t="shared" si="22"/>
        <v>43.498170159955876</v>
      </c>
      <c r="J53" s="24">
        <f t="shared" si="23"/>
        <v>82.95106294414941</v>
      </c>
      <c r="K53" s="21">
        <v>12933397.93</v>
      </c>
      <c r="L53" s="21">
        <v>14399772.12</v>
      </c>
      <c r="M53" s="25">
        <f t="shared" si="24"/>
        <v>-0.10183315248186021</v>
      </c>
      <c r="N53" s="10"/>
      <c r="R53" s="2"/>
    </row>
    <row r="54" spans="1:18" ht="15.75">
      <c r="A54" s="19"/>
      <c r="B54" s="20">
        <f>DATE(2015,12,1)</f>
        <v>42339</v>
      </c>
      <c r="C54" s="21">
        <v>313985</v>
      </c>
      <c r="D54" s="21">
        <v>326322</v>
      </c>
      <c r="E54" s="23">
        <f t="shared" si="20"/>
        <v>-0.03780621594621263</v>
      </c>
      <c r="F54" s="21">
        <f>+C54-151244</f>
        <v>162741</v>
      </c>
      <c r="G54" s="21">
        <f>+D54-157877</f>
        <v>168445</v>
      </c>
      <c r="H54" s="23">
        <f t="shared" si="21"/>
        <v>-0.03386268514945531</v>
      </c>
      <c r="I54" s="24">
        <f t="shared" si="22"/>
        <v>48.54841521091772</v>
      </c>
      <c r="J54" s="24">
        <f t="shared" si="23"/>
        <v>93.66707928549044</v>
      </c>
      <c r="K54" s="21">
        <v>15243474.15</v>
      </c>
      <c r="L54" s="21">
        <v>14518144.12</v>
      </c>
      <c r="M54" s="25">
        <f t="shared" si="24"/>
        <v>0.04996024450541143</v>
      </c>
      <c r="N54" s="10"/>
      <c r="R54" s="2"/>
    </row>
    <row r="55" spans="1:18" ht="15.75">
      <c r="A55" s="19"/>
      <c r="B55" s="20">
        <f>DATE(2016,1,1)</f>
        <v>42370</v>
      </c>
      <c r="C55" s="21">
        <v>300541</v>
      </c>
      <c r="D55" s="21">
        <v>317924</v>
      </c>
      <c r="E55" s="23">
        <f t="shared" si="20"/>
        <v>-0.05467658937356098</v>
      </c>
      <c r="F55" s="21">
        <f>+C55-146134</f>
        <v>154407</v>
      </c>
      <c r="G55" s="21">
        <f>+D55-154706</f>
        <v>163218</v>
      </c>
      <c r="H55" s="23">
        <f t="shared" si="21"/>
        <v>-0.05398301657905378</v>
      </c>
      <c r="I55" s="24">
        <f t="shared" si="22"/>
        <v>46.668651498464435</v>
      </c>
      <c r="J55" s="24">
        <f t="shared" si="23"/>
        <v>90.83683505281496</v>
      </c>
      <c r="K55" s="21">
        <v>14025843.19</v>
      </c>
      <c r="L55" s="21">
        <v>14086892.58</v>
      </c>
      <c r="M55" s="25">
        <f t="shared" si="24"/>
        <v>-0.00433377266514235</v>
      </c>
      <c r="N55" s="10"/>
      <c r="R55" s="2"/>
    </row>
    <row r="56" spans="1:18" ht="15.75" thickBot="1">
      <c r="A56" s="38"/>
      <c r="B56" s="20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7.25" thickBot="1" thickTop="1">
      <c r="A57" s="39" t="s">
        <v>14</v>
      </c>
      <c r="B57" s="40"/>
      <c r="C57" s="41">
        <f>SUM(C49:C56)</f>
        <v>2155246</v>
      </c>
      <c r="D57" s="41">
        <f>SUM(D49:D56)</f>
        <v>2250439</v>
      </c>
      <c r="E57" s="281">
        <f>(+C57-D57)/D57</f>
        <v>-0.04229974684939249</v>
      </c>
      <c r="F57" s="47">
        <f>SUM(F49:F56)</f>
        <v>1132801</v>
      </c>
      <c r="G57" s="48">
        <f>SUM(G49:G56)</f>
        <v>1173586</v>
      </c>
      <c r="H57" s="49">
        <f>(+F57-G57)/G57</f>
        <v>-0.034752459555584335</v>
      </c>
      <c r="I57" s="50">
        <f>K57/C57</f>
        <v>46.430397652982535</v>
      </c>
      <c r="J57" s="51">
        <f>K57/F57</f>
        <v>88.33760635804524</v>
      </c>
      <c r="K57" s="48">
        <f>SUM(K49:K56)</f>
        <v>100068928.82</v>
      </c>
      <c r="L57" s="47">
        <f>SUM(L49:L56)</f>
        <v>101100224.61000001</v>
      </c>
      <c r="M57" s="44">
        <f>(+K57-L57)/L57</f>
        <v>-0.010200726991243638</v>
      </c>
      <c r="N57" s="10"/>
      <c r="R57" s="2"/>
    </row>
    <row r="58" spans="1:18" ht="15.75" customHeight="1" thickTop="1">
      <c r="A58" s="273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5.75">
      <c r="A59" s="274" t="s">
        <v>66</v>
      </c>
      <c r="B59" s="20">
        <f>DATE(2015,7,1)</f>
        <v>42186</v>
      </c>
      <c r="C59" s="21">
        <v>162841</v>
      </c>
      <c r="D59" s="21">
        <v>169515</v>
      </c>
      <c r="E59" s="23">
        <f aca="true" t="shared" si="25" ref="E59:E65">(+C59-D59)/D59</f>
        <v>-0.039371147096127185</v>
      </c>
      <c r="F59" s="21">
        <f>+C59-76529</f>
        <v>86312</v>
      </c>
      <c r="G59" s="21">
        <f>+D59-78908</f>
        <v>90607</v>
      </c>
      <c r="H59" s="23">
        <f aca="true" t="shared" si="26" ref="H59:H65">(+F59-G59)/G59</f>
        <v>-0.04740251856920547</v>
      </c>
      <c r="I59" s="24">
        <f aca="true" t="shared" si="27" ref="I59:I65">K59/C59</f>
        <v>32.48967876640404</v>
      </c>
      <c r="J59" s="24">
        <f aca="true" t="shared" si="28" ref="J59:J65">K59/F59</f>
        <v>61.29682755584392</v>
      </c>
      <c r="K59" s="21">
        <v>5290651.78</v>
      </c>
      <c r="L59" s="21">
        <v>5365526.65</v>
      </c>
      <c r="M59" s="25">
        <f aca="true" t="shared" si="29" ref="M59:M65">(+K59-L59)/L59</f>
        <v>-0.013954803486066016</v>
      </c>
      <c r="N59" s="10"/>
      <c r="R59" s="2"/>
    </row>
    <row r="60" spans="1:18" ht="15.75">
      <c r="A60" s="274"/>
      <c r="B60" s="20">
        <f>DATE(2015,8,1)</f>
        <v>42217</v>
      </c>
      <c r="C60" s="21">
        <v>166381</v>
      </c>
      <c r="D60" s="21">
        <v>181287</v>
      </c>
      <c r="E60" s="23">
        <f t="shared" si="25"/>
        <v>-0.0822232151229818</v>
      </c>
      <c r="F60" s="21">
        <f>+C60-77028</f>
        <v>89353</v>
      </c>
      <c r="G60" s="21">
        <f>+D60-83317</f>
        <v>97970</v>
      </c>
      <c r="H60" s="23">
        <f t="shared" si="26"/>
        <v>-0.08795549658058589</v>
      </c>
      <c r="I60" s="24">
        <f t="shared" si="27"/>
        <v>33.09861504618917</v>
      </c>
      <c r="J60" s="24">
        <f t="shared" si="28"/>
        <v>61.63173782637404</v>
      </c>
      <c r="K60" s="21">
        <v>5506980.67</v>
      </c>
      <c r="L60" s="21">
        <v>5756649.28</v>
      </c>
      <c r="M60" s="25">
        <f t="shared" si="29"/>
        <v>-0.04337047436039048</v>
      </c>
      <c r="N60" s="10"/>
      <c r="R60" s="2"/>
    </row>
    <row r="61" spans="1:18" ht="15.75">
      <c r="A61" s="274"/>
      <c r="B61" s="20">
        <f>DATE(2015,9,1)</f>
        <v>42248</v>
      </c>
      <c r="C61" s="21">
        <v>157763</v>
      </c>
      <c r="D61" s="21">
        <v>150132</v>
      </c>
      <c r="E61" s="23">
        <f t="shared" si="25"/>
        <v>0.050828604161671065</v>
      </c>
      <c r="F61" s="21">
        <f>+C61-73171</f>
        <v>84592</v>
      </c>
      <c r="G61" s="21">
        <f>+D61-69946</f>
        <v>80186</v>
      </c>
      <c r="H61" s="23">
        <f t="shared" si="26"/>
        <v>0.054947247649215575</v>
      </c>
      <c r="I61" s="24">
        <f t="shared" si="27"/>
        <v>31.97130746753041</v>
      </c>
      <c r="J61" s="24">
        <f t="shared" si="28"/>
        <v>59.6260802439947</v>
      </c>
      <c r="K61" s="21">
        <v>5043889.38</v>
      </c>
      <c r="L61" s="21">
        <v>4750473.68</v>
      </c>
      <c r="M61" s="25">
        <f t="shared" si="29"/>
        <v>0.06176556692342314</v>
      </c>
      <c r="N61" s="10"/>
      <c r="R61" s="2"/>
    </row>
    <row r="62" spans="1:18" ht="15.75">
      <c r="A62" s="274"/>
      <c r="B62" s="20">
        <f>DATE(2015,10,1)</f>
        <v>42278</v>
      </c>
      <c r="C62" s="21">
        <v>148479</v>
      </c>
      <c r="D62" s="21">
        <v>160851</v>
      </c>
      <c r="E62" s="23">
        <f t="shared" si="25"/>
        <v>-0.07691590353805695</v>
      </c>
      <c r="F62" s="21">
        <f>+C62-69682</f>
        <v>78797</v>
      </c>
      <c r="G62" s="21">
        <f>+D62-74039</f>
        <v>86812</v>
      </c>
      <c r="H62" s="23">
        <f t="shared" si="26"/>
        <v>-0.09232594572178962</v>
      </c>
      <c r="I62" s="24">
        <f t="shared" si="27"/>
        <v>36.3551096788098</v>
      </c>
      <c r="J62" s="24">
        <f t="shared" si="28"/>
        <v>68.50476959782733</v>
      </c>
      <c r="K62" s="21">
        <v>5397970.33</v>
      </c>
      <c r="L62" s="21">
        <v>5146264.1</v>
      </c>
      <c r="M62" s="25">
        <f t="shared" si="29"/>
        <v>0.04891047663099927</v>
      </c>
      <c r="N62" s="10"/>
      <c r="R62" s="2"/>
    </row>
    <row r="63" spans="1:18" ht="15.75">
      <c r="A63" s="274"/>
      <c r="B63" s="20">
        <f>DATE(2015,11,1)</f>
        <v>42309</v>
      </c>
      <c r="C63" s="21">
        <v>142175</v>
      </c>
      <c r="D63" s="21">
        <v>159639</v>
      </c>
      <c r="E63" s="23">
        <f t="shared" si="25"/>
        <v>-0.10939682658999367</v>
      </c>
      <c r="F63" s="21">
        <f>+C63-66993</f>
        <v>75182</v>
      </c>
      <c r="G63" s="21">
        <f>+D63-75628</f>
        <v>84011</v>
      </c>
      <c r="H63" s="23">
        <f t="shared" si="26"/>
        <v>-0.1050933806287272</v>
      </c>
      <c r="I63" s="24">
        <f t="shared" si="27"/>
        <v>34.28535143309302</v>
      </c>
      <c r="J63" s="24">
        <f t="shared" si="28"/>
        <v>64.83626187119258</v>
      </c>
      <c r="K63" s="21">
        <v>4874519.84</v>
      </c>
      <c r="L63" s="21">
        <v>4986145.93</v>
      </c>
      <c r="M63" s="25">
        <f t="shared" si="29"/>
        <v>-0.022387248902681005</v>
      </c>
      <c r="N63" s="10"/>
      <c r="R63" s="2"/>
    </row>
    <row r="64" spans="1:18" ht="15.75">
      <c r="A64" s="274"/>
      <c r="B64" s="20">
        <f>DATE(2015,12,1)</f>
        <v>42339</v>
      </c>
      <c r="C64" s="21">
        <v>159304</v>
      </c>
      <c r="D64" s="21">
        <v>160372</v>
      </c>
      <c r="E64" s="23">
        <f t="shared" si="25"/>
        <v>-0.00665951662384955</v>
      </c>
      <c r="F64" s="21">
        <f>+C64-75376</f>
        <v>83928</v>
      </c>
      <c r="G64" s="21">
        <f>+D64-75831</f>
        <v>84541</v>
      </c>
      <c r="H64" s="23">
        <f t="shared" si="26"/>
        <v>-0.007250919672111757</v>
      </c>
      <c r="I64" s="24">
        <f t="shared" si="27"/>
        <v>35.00789773012605</v>
      </c>
      <c r="J64" s="24">
        <f t="shared" si="28"/>
        <v>66.44860046706701</v>
      </c>
      <c r="K64" s="21">
        <v>5576898.14</v>
      </c>
      <c r="L64" s="21">
        <v>5136595.7</v>
      </c>
      <c r="M64" s="25">
        <f t="shared" si="29"/>
        <v>0.0857187261204925</v>
      </c>
      <c r="N64" s="10"/>
      <c r="R64" s="2"/>
    </row>
    <row r="65" spans="1:18" ht="15.75">
      <c r="A65" s="274"/>
      <c r="B65" s="20">
        <f>DATE(2016,1,1)</f>
        <v>42370</v>
      </c>
      <c r="C65" s="21">
        <v>146447</v>
      </c>
      <c r="D65" s="21">
        <v>164487</v>
      </c>
      <c r="E65" s="23">
        <f t="shared" si="25"/>
        <v>-0.1096743207669907</v>
      </c>
      <c r="F65" s="21">
        <f>+C65-71029</f>
        <v>75418</v>
      </c>
      <c r="G65" s="21">
        <f>+D65-80335</f>
        <v>84152</v>
      </c>
      <c r="H65" s="23">
        <f t="shared" si="26"/>
        <v>-0.10378838292613367</v>
      </c>
      <c r="I65" s="24">
        <f t="shared" si="27"/>
        <v>34.46658641010058</v>
      </c>
      <c r="J65" s="24">
        <f t="shared" si="28"/>
        <v>66.92736720676761</v>
      </c>
      <c r="K65" s="21">
        <v>5047528.18</v>
      </c>
      <c r="L65" s="21">
        <v>5340870.15</v>
      </c>
      <c r="M65" s="25">
        <f t="shared" si="29"/>
        <v>-0.05492400334803134</v>
      </c>
      <c r="N65" s="10"/>
      <c r="R65" s="2"/>
    </row>
    <row r="66" spans="1:18" ht="15.75" customHeight="1" thickBot="1">
      <c r="A66" s="19"/>
      <c r="B66" s="20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customHeight="1" thickBot="1" thickTop="1">
      <c r="A67" s="39" t="s">
        <v>14</v>
      </c>
      <c r="B67" s="52"/>
      <c r="C67" s="47">
        <f>SUM(C59:C66)</f>
        <v>1083390</v>
      </c>
      <c r="D67" s="48">
        <f>SUM(D59:D66)</f>
        <v>1146283</v>
      </c>
      <c r="E67" s="281">
        <f>(+C67-D67)/D67</f>
        <v>-0.05486690459511307</v>
      </c>
      <c r="F67" s="48">
        <f>SUM(F59:F66)</f>
        <v>573582</v>
      </c>
      <c r="G67" s="47">
        <f>SUM(G59:G66)</f>
        <v>608279</v>
      </c>
      <c r="H67" s="46">
        <f>(+F67-G67)/G67</f>
        <v>-0.05704125902751862</v>
      </c>
      <c r="I67" s="51">
        <f>K67/C67</f>
        <v>33.910630816234224</v>
      </c>
      <c r="J67" s="50">
        <f>K67/F67</f>
        <v>64.05089127622553</v>
      </c>
      <c r="K67" s="47">
        <f>SUM(K59:K66)</f>
        <v>36738438.31999999</v>
      </c>
      <c r="L67" s="48">
        <f>SUM(L59:L66)</f>
        <v>36482525.49</v>
      </c>
      <c r="M67" s="44">
        <f>(+K67-L67)/L67</f>
        <v>0.0070146687095480114</v>
      </c>
      <c r="N67" s="10"/>
      <c r="R67" s="2"/>
    </row>
    <row r="68" spans="1:18" ht="15.75" customHeight="1" thickTop="1">
      <c r="A68" s="19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>
      <c r="A69" s="19" t="s">
        <v>17</v>
      </c>
      <c r="B69" s="20">
        <f>DATE(2015,7,1)</f>
        <v>42186</v>
      </c>
      <c r="C69" s="21">
        <v>222762</v>
      </c>
      <c r="D69" s="21">
        <v>237534</v>
      </c>
      <c r="E69" s="23">
        <f aca="true" t="shared" si="30" ref="E69:E75">(+C69-D69)/D69</f>
        <v>-0.062188991891687084</v>
      </c>
      <c r="F69" s="21">
        <f>+C69-111188</f>
        <v>111574</v>
      </c>
      <c r="G69" s="21">
        <f>+D69-122793</f>
        <v>114741</v>
      </c>
      <c r="H69" s="23">
        <f aca="true" t="shared" si="31" ref="H69:H75">(+F69-G69)/G69</f>
        <v>-0.027601293347626392</v>
      </c>
      <c r="I69" s="24">
        <f aca="true" t="shared" si="32" ref="I69:I75">K69/C69</f>
        <v>31.127868981244557</v>
      </c>
      <c r="J69" s="24">
        <f aca="true" t="shared" si="33" ref="J69:J75">K69/F69</f>
        <v>62.14804838044705</v>
      </c>
      <c r="K69" s="21">
        <v>6934106.35</v>
      </c>
      <c r="L69" s="21">
        <v>6344090.08</v>
      </c>
      <c r="M69" s="25">
        <f aca="true" t="shared" si="34" ref="M69:M75">(+K69-L69)/L69</f>
        <v>0.09300250509683802</v>
      </c>
      <c r="N69" s="10"/>
      <c r="R69" s="2"/>
    </row>
    <row r="70" spans="1:18" ht="15.75">
      <c r="A70" s="19"/>
      <c r="B70" s="20">
        <f>DATE(2015,8,1)</f>
        <v>42217</v>
      </c>
      <c r="C70" s="21">
        <v>204772</v>
      </c>
      <c r="D70" s="21">
        <v>229835</v>
      </c>
      <c r="E70" s="23">
        <f t="shared" si="30"/>
        <v>-0.10904779515739552</v>
      </c>
      <c r="F70" s="21">
        <f>+C70-100910</f>
        <v>103862</v>
      </c>
      <c r="G70" s="21">
        <f>+D70-114377</f>
        <v>115458</v>
      </c>
      <c r="H70" s="23">
        <f t="shared" si="31"/>
        <v>-0.10043479014013754</v>
      </c>
      <c r="I70" s="24">
        <f t="shared" si="32"/>
        <v>31.575567802238588</v>
      </c>
      <c r="J70" s="24">
        <f t="shared" si="33"/>
        <v>62.25368440815698</v>
      </c>
      <c r="K70" s="21">
        <v>6465792.17</v>
      </c>
      <c r="L70" s="21">
        <v>6420621.27</v>
      </c>
      <c r="M70" s="25">
        <f t="shared" si="34"/>
        <v>0.00703528492033301</v>
      </c>
      <c r="N70" s="10"/>
      <c r="R70" s="2"/>
    </row>
    <row r="71" spans="1:18" ht="15.75">
      <c r="A71" s="19"/>
      <c r="B71" s="20">
        <f>DATE(2015,9,1)</f>
        <v>42248</v>
      </c>
      <c r="C71" s="21">
        <v>195370</v>
      </c>
      <c r="D71" s="21">
        <v>204323</v>
      </c>
      <c r="E71" s="23">
        <f t="shared" si="30"/>
        <v>-0.043817876597348315</v>
      </c>
      <c r="F71" s="21">
        <f>+C71-98492</f>
        <v>96878</v>
      </c>
      <c r="G71" s="21">
        <f>+D71-98157</f>
        <v>106166</v>
      </c>
      <c r="H71" s="23">
        <f t="shared" si="31"/>
        <v>-0.08748563570257897</v>
      </c>
      <c r="I71" s="24">
        <f t="shared" si="32"/>
        <v>30.130336131442903</v>
      </c>
      <c r="J71" s="24">
        <f t="shared" si="33"/>
        <v>60.76264755672082</v>
      </c>
      <c r="K71" s="21">
        <v>5886563.77</v>
      </c>
      <c r="L71" s="21">
        <v>6024259.95</v>
      </c>
      <c r="M71" s="25">
        <f t="shared" si="34"/>
        <v>-0.022856945275079078</v>
      </c>
      <c r="N71" s="10"/>
      <c r="R71" s="2"/>
    </row>
    <row r="72" spans="1:18" ht="15.75">
      <c r="A72" s="19"/>
      <c r="B72" s="20">
        <f>DATE(2015,10,1)</f>
        <v>42278</v>
      </c>
      <c r="C72" s="21">
        <v>197483</v>
      </c>
      <c r="D72" s="21">
        <v>210762</v>
      </c>
      <c r="E72" s="23">
        <f t="shared" si="30"/>
        <v>-0.06300471622019149</v>
      </c>
      <c r="F72" s="21">
        <f>+C72-99879</f>
        <v>97604</v>
      </c>
      <c r="G72" s="21">
        <f>+D72-103458</f>
        <v>107304</v>
      </c>
      <c r="H72" s="23">
        <f t="shared" si="31"/>
        <v>-0.09039737568031014</v>
      </c>
      <c r="I72" s="24">
        <f t="shared" si="32"/>
        <v>30.691315201814838</v>
      </c>
      <c r="J72" s="24">
        <f t="shared" si="33"/>
        <v>62.09799803286751</v>
      </c>
      <c r="K72" s="21">
        <v>6061013</v>
      </c>
      <c r="L72" s="21">
        <v>6247990.4</v>
      </c>
      <c r="M72" s="25">
        <f t="shared" si="34"/>
        <v>-0.029926006288357992</v>
      </c>
      <c r="N72" s="10"/>
      <c r="R72" s="2"/>
    </row>
    <row r="73" spans="1:18" ht="15.75">
      <c r="A73" s="19"/>
      <c r="B73" s="20">
        <f>DATE(2015,11,1)</f>
        <v>42309</v>
      </c>
      <c r="C73" s="21">
        <v>174216</v>
      </c>
      <c r="D73" s="21">
        <v>201690</v>
      </c>
      <c r="E73" s="23">
        <f t="shared" si="30"/>
        <v>-0.13621894987356833</v>
      </c>
      <c r="F73" s="21">
        <f>+C73-82386</f>
        <v>91830</v>
      </c>
      <c r="G73" s="21">
        <f>+D73-98548</f>
        <v>103142</v>
      </c>
      <c r="H73" s="23">
        <f t="shared" si="31"/>
        <v>-0.10967404161253418</v>
      </c>
      <c r="I73" s="24">
        <f t="shared" si="32"/>
        <v>34.79429782568765</v>
      </c>
      <c r="J73" s="24">
        <f t="shared" si="33"/>
        <v>66.01027322225852</v>
      </c>
      <c r="K73" s="21">
        <v>6061723.39</v>
      </c>
      <c r="L73" s="21">
        <v>6144614.02</v>
      </c>
      <c r="M73" s="25">
        <f t="shared" si="34"/>
        <v>-0.013489965314371348</v>
      </c>
      <c r="N73" s="10"/>
      <c r="R73" s="2"/>
    </row>
    <row r="74" spans="1:18" ht="15.75">
      <c r="A74" s="19"/>
      <c r="B74" s="20">
        <f>DATE(2015,12,1)</f>
        <v>42339</v>
      </c>
      <c r="C74" s="21">
        <v>198131</v>
      </c>
      <c r="D74" s="21">
        <v>218773</v>
      </c>
      <c r="E74" s="23">
        <f t="shared" si="30"/>
        <v>-0.09435350797401873</v>
      </c>
      <c r="F74" s="21">
        <f>+C74-96720</f>
        <v>101411</v>
      </c>
      <c r="G74" s="21">
        <f>+D74-109752</f>
        <v>109021</v>
      </c>
      <c r="H74" s="23">
        <f t="shared" si="31"/>
        <v>-0.06980306546445181</v>
      </c>
      <c r="I74" s="24">
        <f t="shared" si="32"/>
        <v>32.71994488494986</v>
      </c>
      <c r="J74" s="24">
        <f t="shared" si="33"/>
        <v>63.926353156955365</v>
      </c>
      <c r="K74" s="21">
        <v>6482835.4</v>
      </c>
      <c r="L74" s="21">
        <v>6512486.03</v>
      </c>
      <c r="M74" s="25">
        <f t="shared" si="34"/>
        <v>-0.00455288961287797</v>
      </c>
      <c r="N74" s="10"/>
      <c r="R74" s="2"/>
    </row>
    <row r="75" spans="1:18" ht="15.75">
      <c r="A75" s="19"/>
      <c r="B75" s="20">
        <f>DATE(2016,1,1)</f>
        <v>42370</v>
      </c>
      <c r="C75" s="21">
        <v>179212</v>
      </c>
      <c r="D75" s="21">
        <v>215579</v>
      </c>
      <c r="E75" s="23">
        <f t="shared" si="30"/>
        <v>-0.16869453889293484</v>
      </c>
      <c r="F75" s="21">
        <f>+C75-86664</f>
        <v>92548</v>
      </c>
      <c r="G75" s="21">
        <f>+D75-109881</f>
        <v>105698</v>
      </c>
      <c r="H75" s="23">
        <f t="shared" si="31"/>
        <v>-0.12441105791973359</v>
      </c>
      <c r="I75" s="24">
        <f t="shared" si="32"/>
        <v>33.67836662723479</v>
      </c>
      <c r="J75" s="24">
        <f t="shared" si="33"/>
        <v>65.21553615421188</v>
      </c>
      <c r="K75" s="21">
        <v>6035567.44</v>
      </c>
      <c r="L75" s="21">
        <v>6275646.09</v>
      </c>
      <c r="M75" s="25">
        <f t="shared" si="34"/>
        <v>-0.03825560692190012</v>
      </c>
      <c r="N75" s="10"/>
      <c r="R75" s="2"/>
    </row>
    <row r="76" spans="1:18" ht="15.75" customHeight="1" thickBot="1">
      <c r="A76" s="19"/>
      <c r="B76" s="45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customHeight="1" thickBot="1" thickTop="1">
      <c r="A77" s="39" t="s">
        <v>14</v>
      </c>
      <c r="B77" s="52"/>
      <c r="C77" s="47">
        <f>SUM(C69:C76)</f>
        <v>1371946</v>
      </c>
      <c r="D77" s="48">
        <f>SUM(D69:D76)</f>
        <v>1518496</v>
      </c>
      <c r="E77" s="281">
        <f>(+C77-D77)/D77</f>
        <v>-0.09650996775757065</v>
      </c>
      <c r="F77" s="48">
        <f>SUM(F69:F76)</f>
        <v>695707</v>
      </c>
      <c r="G77" s="47">
        <f>SUM(G69:G76)</f>
        <v>761530</v>
      </c>
      <c r="H77" s="53">
        <f>(+F77-G77)/G77</f>
        <v>-0.08643520281538482</v>
      </c>
      <c r="I77" s="51">
        <f>K77/C77</f>
        <v>32.01846247592835</v>
      </c>
      <c r="J77" s="50">
        <f>K77/F77</f>
        <v>63.14095088880807</v>
      </c>
      <c r="K77" s="47">
        <f>SUM(K69:K76)</f>
        <v>43927601.519999996</v>
      </c>
      <c r="L77" s="48">
        <f>SUM(L69:L76)</f>
        <v>43969707.84</v>
      </c>
      <c r="M77" s="44">
        <f>(+K77-L77)/L77</f>
        <v>-0.0009576211002635524</v>
      </c>
      <c r="N77" s="10"/>
      <c r="R77" s="2"/>
    </row>
    <row r="78" spans="1:18" ht="15.75" customHeight="1" thickTop="1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.75" customHeight="1">
      <c r="A79" s="19" t="s">
        <v>68</v>
      </c>
      <c r="B79" s="20">
        <f>DATE(2015,7,1)</f>
        <v>42186</v>
      </c>
      <c r="C79" s="21">
        <v>315217</v>
      </c>
      <c r="D79" s="21">
        <v>381777</v>
      </c>
      <c r="E79" s="23">
        <f aca="true" t="shared" si="35" ref="E79:E85">(+C79-D79)/D79</f>
        <v>-0.17434261361999281</v>
      </c>
      <c r="F79" s="21">
        <f>+C79-154386</f>
        <v>160831</v>
      </c>
      <c r="G79" s="21">
        <f>+D79-188816</f>
        <v>192961</v>
      </c>
      <c r="H79" s="23">
        <f aca="true" t="shared" si="36" ref="H79:H85">(+F79-G79)/G79</f>
        <v>-0.16651033110317628</v>
      </c>
      <c r="I79" s="24">
        <f aca="true" t="shared" si="37" ref="I79:I85">K79/C79</f>
        <v>35.09699375350949</v>
      </c>
      <c r="J79" s="24">
        <f aca="true" t="shared" si="38" ref="J79:J85">K79/F79</f>
        <v>68.78754145655999</v>
      </c>
      <c r="K79" s="21">
        <v>11063169.08</v>
      </c>
      <c r="L79" s="21">
        <v>11801216.19</v>
      </c>
      <c r="M79" s="25">
        <f aca="true" t="shared" si="39" ref="M79:M85">(+K79-L79)/L79</f>
        <v>-0.06253991945553872</v>
      </c>
      <c r="N79" s="10"/>
      <c r="R79" s="2"/>
    </row>
    <row r="80" spans="1:18" ht="15.75" customHeight="1">
      <c r="A80" s="19"/>
      <c r="B80" s="20">
        <f>DATE(2015,8,1)</f>
        <v>42217</v>
      </c>
      <c r="C80" s="21">
        <v>310472</v>
      </c>
      <c r="D80" s="21">
        <v>398587</v>
      </c>
      <c r="E80" s="23">
        <f t="shared" si="35"/>
        <v>-0.22106842420851658</v>
      </c>
      <c r="F80" s="21">
        <f>+C80-153162</f>
        <v>157310</v>
      </c>
      <c r="G80" s="21">
        <f>+D80-196528</f>
        <v>202059</v>
      </c>
      <c r="H80" s="23">
        <f t="shared" si="36"/>
        <v>-0.2214650176433616</v>
      </c>
      <c r="I80" s="24">
        <f t="shared" si="37"/>
        <v>34.08608557293412</v>
      </c>
      <c r="J80" s="24">
        <f t="shared" si="38"/>
        <v>67.27337842476639</v>
      </c>
      <c r="K80" s="21">
        <v>10582775.16</v>
      </c>
      <c r="L80" s="21">
        <v>12867985.81</v>
      </c>
      <c r="M80" s="25">
        <f t="shared" si="39"/>
        <v>-0.17758883820217705</v>
      </c>
      <c r="N80" s="10"/>
      <c r="R80" s="2"/>
    </row>
    <row r="81" spans="1:18" ht="15.75" customHeight="1">
      <c r="A81" s="19"/>
      <c r="B81" s="20">
        <f>DATE(2015,9,1)</f>
        <v>42248</v>
      </c>
      <c r="C81" s="21">
        <v>341523</v>
      </c>
      <c r="D81" s="21">
        <v>349419</v>
      </c>
      <c r="E81" s="23">
        <f t="shared" si="35"/>
        <v>-0.02259751186970371</v>
      </c>
      <c r="F81" s="21">
        <f>+C81-167601</f>
        <v>173922</v>
      </c>
      <c r="G81" s="21">
        <f>+D81-171468</f>
        <v>177951</v>
      </c>
      <c r="H81" s="23">
        <f t="shared" si="36"/>
        <v>-0.022641064113154745</v>
      </c>
      <c r="I81" s="24">
        <f t="shared" si="37"/>
        <v>34.35739030753419</v>
      </c>
      <c r="J81" s="24">
        <f t="shared" si="38"/>
        <v>67.46609980336012</v>
      </c>
      <c r="K81" s="21">
        <v>11733839.01</v>
      </c>
      <c r="L81" s="21">
        <v>11404539.52</v>
      </c>
      <c r="M81" s="25">
        <f t="shared" si="39"/>
        <v>0.02887442227917329</v>
      </c>
      <c r="N81" s="10"/>
      <c r="R81" s="2"/>
    </row>
    <row r="82" spans="1:18" ht="15.75" customHeight="1">
      <c r="A82" s="19"/>
      <c r="B82" s="20">
        <f>DATE(2015,10,1)</f>
        <v>42278</v>
      </c>
      <c r="C82" s="21">
        <v>323356</v>
      </c>
      <c r="D82" s="21">
        <v>346830</v>
      </c>
      <c r="E82" s="23">
        <f t="shared" si="35"/>
        <v>-0.06768157310497938</v>
      </c>
      <c r="F82" s="21">
        <f>+C82-160209</f>
        <v>163147</v>
      </c>
      <c r="G82" s="21">
        <f>+D82-170451</f>
        <v>176379</v>
      </c>
      <c r="H82" s="23">
        <f t="shared" si="36"/>
        <v>-0.07502026885286797</v>
      </c>
      <c r="I82" s="24">
        <f t="shared" si="37"/>
        <v>37.25070829055282</v>
      </c>
      <c r="J82" s="24">
        <f t="shared" si="38"/>
        <v>73.83059467841885</v>
      </c>
      <c r="K82" s="21">
        <v>12045240.03</v>
      </c>
      <c r="L82" s="21">
        <v>11662606.12</v>
      </c>
      <c r="M82" s="25">
        <f t="shared" si="39"/>
        <v>0.03280861121973655</v>
      </c>
      <c r="N82" s="10"/>
      <c r="R82" s="2"/>
    </row>
    <row r="83" spans="1:18" ht="15.75" customHeight="1">
      <c r="A83" s="19"/>
      <c r="B83" s="20">
        <f>DATE(2015,11,1)</f>
        <v>42309</v>
      </c>
      <c r="C83" s="21">
        <v>300525</v>
      </c>
      <c r="D83" s="21">
        <v>318650</v>
      </c>
      <c r="E83" s="23">
        <f t="shared" si="35"/>
        <v>-0.05688058998901616</v>
      </c>
      <c r="F83" s="21">
        <f>+C83-151311</f>
        <v>149214</v>
      </c>
      <c r="G83" s="21">
        <f>+D83-161543</f>
        <v>157107</v>
      </c>
      <c r="H83" s="23">
        <f t="shared" si="36"/>
        <v>-0.05023964559185778</v>
      </c>
      <c r="I83" s="24">
        <f t="shared" si="37"/>
        <v>36.229006704933035</v>
      </c>
      <c r="J83" s="24">
        <f t="shared" si="38"/>
        <v>72.96716286675513</v>
      </c>
      <c r="K83" s="21">
        <v>10887722.24</v>
      </c>
      <c r="L83" s="21">
        <v>10688899.67</v>
      </c>
      <c r="M83" s="25">
        <f t="shared" si="39"/>
        <v>0.018600845375883326</v>
      </c>
      <c r="N83" s="10"/>
      <c r="R83" s="2"/>
    </row>
    <row r="84" spans="1:18" ht="15.75" customHeight="1">
      <c r="A84" s="19"/>
      <c r="B84" s="20">
        <f>DATE(2015,12,1)</f>
        <v>42339</v>
      </c>
      <c r="C84" s="21">
        <v>323983</v>
      </c>
      <c r="D84" s="21">
        <v>310037</v>
      </c>
      <c r="E84" s="23">
        <f t="shared" si="35"/>
        <v>0.044981727987304744</v>
      </c>
      <c r="F84" s="21">
        <f>+C84-162399</f>
        <v>161584</v>
      </c>
      <c r="G84" s="21">
        <f>+D84-156498</f>
        <v>153539</v>
      </c>
      <c r="H84" s="23">
        <f t="shared" si="36"/>
        <v>0.05239711083177564</v>
      </c>
      <c r="I84" s="24">
        <f t="shared" si="37"/>
        <v>35.36685415592793</v>
      </c>
      <c r="J84" s="24">
        <f t="shared" si="38"/>
        <v>70.91209222447768</v>
      </c>
      <c r="K84" s="21">
        <v>11458259.51</v>
      </c>
      <c r="L84" s="21">
        <v>10203682.6</v>
      </c>
      <c r="M84" s="25">
        <f t="shared" si="39"/>
        <v>0.12295334529515846</v>
      </c>
      <c r="N84" s="10"/>
      <c r="R84" s="2"/>
    </row>
    <row r="85" spans="1:18" ht="15.75" customHeight="1">
      <c r="A85" s="19"/>
      <c r="B85" s="20">
        <f>DATE(2016,1,1)</f>
        <v>42370</v>
      </c>
      <c r="C85" s="21">
        <v>330194</v>
      </c>
      <c r="D85" s="21">
        <v>294458</v>
      </c>
      <c r="E85" s="23">
        <f t="shared" si="35"/>
        <v>0.12136195993995748</v>
      </c>
      <c r="F85" s="21">
        <f>+C85-165475</f>
        <v>164719</v>
      </c>
      <c r="G85" s="21">
        <f>+D85-151506</f>
        <v>142952</v>
      </c>
      <c r="H85" s="23">
        <f t="shared" si="36"/>
        <v>0.15226789411830544</v>
      </c>
      <c r="I85" s="24">
        <f t="shared" si="37"/>
        <v>33.50847244347263</v>
      </c>
      <c r="J85" s="24">
        <f t="shared" si="38"/>
        <v>67.17073652705517</v>
      </c>
      <c r="K85" s="21">
        <v>11064296.55</v>
      </c>
      <c r="L85" s="21">
        <v>10549952.86</v>
      </c>
      <c r="M85" s="25">
        <f t="shared" si="39"/>
        <v>0.048753174239301894</v>
      </c>
      <c r="N85" s="10"/>
      <c r="R85" s="2"/>
    </row>
    <row r="86" spans="1:18" ht="15.75" customHeight="1" thickBot="1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7.25" thickBot="1" thickTop="1">
      <c r="A87" s="39" t="s">
        <v>14</v>
      </c>
      <c r="B87" s="40"/>
      <c r="C87" s="41">
        <f>SUM(C79:C86)</f>
        <v>2245270</v>
      </c>
      <c r="D87" s="41">
        <f>SUM(D79:D86)</f>
        <v>2399758</v>
      </c>
      <c r="E87" s="280">
        <f>(+C87-D87)/D87</f>
        <v>-0.0643764912962057</v>
      </c>
      <c r="F87" s="41">
        <f>SUM(F79:F86)</f>
        <v>1130727</v>
      </c>
      <c r="G87" s="41">
        <f>SUM(G79:G86)</f>
        <v>1202948</v>
      </c>
      <c r="H87" s="42">
        <f>(+F87-G87)/G87</f>
        <v>-0.06003667656457303</v>
      </c>
      <c r="I87" s="43">
        <f>K87/C87</f>
        <v>35.111724460755276</v>
      </c>
      <c r="J87" s="43">
        <f>K87/F87</f>
        <v>69.72089777638634</v>
      </c>
      <c r="K87" s="41">
        <f>SUM(K79:K86)</f>
        <v>78835301.58</v>
      </c>
      <c r="L87" s="41">
        <f>SUM(L79:L86)</f>
        <v>79178882.77</v>
      </c>
      <c r="M87" s="44">
        <f>(+K87-L87)/L87</f>
        <v>-0.00433930333417355</v>
      </c>
      <c r="N87" s="10"/>
      <c r="R87" s="2"/>
    </row>
    <row r="88" spans="1:18" ht="15.75" customHeight="1" thickTop="1">
      <c r="A88" s="54"/>
      <c r="B88" s="55"/>
      <c r="C88" s="55"/>
      <c r="D88" s="55"/>
      <c r="E88" s="56"/>
      <c r="F88" s="55"/>
      <c r="G88" s="55"/>
      <c r="H88" s="56"/>
      <c r="I88" s="55"/>
      <c r="J88" s="55"/>
      <c r="K88" s="196"/>
      <c r="L88" s="196"/>
      <c r="M88" s="57"/>
      <c r="N88" s="10"/>
      <c r="R88" s="2"/>
    </row>
    <row r="89" spans="1:18" ht="15.75" customHeight="1">
      <c r="A89" s="19" t="s">
        <v>18</v>
      </c>
      <c r="B89" s="20">
        <f>DATE(2015,7,1)</f>
        <v>42186</v>
      </c>
      <c r="C89" s="21">
        <v>447050</v>
      </c>
      <c r="D89" s="21">
        <v>513388</v>
      </c>
      <c r="E89" s="23">
        <f aca="true" t="shared" si="40" ref="E89:E95">(+C89-D89)/D89</f>
        <v>-0.129216109453279</v>
      </c>
      <c r="F89" s="21">
        <f>+C89-221591</f>
        <v>225459</v>
      </c>
      <c r="G89" s="21">
        <f>+D89-254695</f>
        <v>258693</v>
      </c>
      <c r="H89" s="23">
        <f aca="true" t="shared" si="41" ref="H89:H95">(+F89-G89)/G89</f>
        <v>-0.12846888010112373</v>
      </c>
      <c r="I89" s="24">
        <f aca="true" t="shared" si="42" ref="I89:I95">K89/C89</f>
        <v>38.16590562576893</v>
      </c>
      <c r="J89" s="24">
        <f aca="true" t="shared" si="43" ref="J89:J95">K89/F89</f>
        <v>75.67703267556406</v>
      </c>
      <c r="K89" s="21">
        <v>17062068.11</v>
      </c>
      <c r="L89" s="21">
        <v>17287226.16</v>
      </c>
      <c r="M89" s="25">
        <f aca="true" t="shared" si="44" ref="M89:M95">(+K89-L89)/L89</f>
        <v>-0.01302453313886655</v>
      </c>
      <c r="N89" s="10"/>
      <c r="R89" s="2"/>
    </row>
    <row r="90" spans="1:18" ht="15.75" customHeight="1">
      <c r="A90" s="19"/>
      <c r="B90" s="20">
        <f>DATE(2015,8,1)</f>
        <v>42217</v>
      </c>
      <c r="C90" s="21">
        <v>477502</v>
      </c>
      <c r="D90" s="21">
        <v>503846</v>
      </c>
      <c r="E90" s="23">
        <f t="shared" si="40"/>
        <v>-0.05228581749185267</v>
      </c>
      <c r="F90" s="21">
        <f>+C90-237521</f>
        <v>239981</v>
      </c>
      <c r="G90" s="21">
        <f>+D90-249972</f>
        <v>253874</v>
      </c>
      <c r="H90" s="23">
        <f t="shared" si="41"/>
        <v>-0.054723996943365605</v>
      </c>
      <c r="I90" s="24">
        <f t="shared" si="42"/>
        <v>36.02355405841232</v>
      </c>
      <c r="J90" s="24">
        <f t="shared" si="43"/>
        <v>71.67783745379842</v>
      </c>
      <c r="K90" s="21">
        <v>17201319.11</v>
      </c>
      <c r="L90" s="21">
        <v>17523268.22</v>
      </c>
      <c r="M90" s="25">
        <f t="shared" si="44"/>
        <v>-0.018372663475672086</v>
      </c>
      <c r="N90" s="10"/>
      <c r="R90" s="2"/>
    </row>
    <row r="91" spans="1:18" ht="15.75" customHeight="1">
      <c r="A91" s="19"/>
      <c r="B91" s="20">
        <f>DATE(2015,9,1)</f>
        <v>42248</v>
      </c>
      <c r="C91" s="21">
        <v>424095</v>
      </c>
      <c r="D91" s="21">
        <v>423883</v>
      </c>
      <c r="E91" s="23">
        <f t="shared" si="40"/>
        <v>0.0005001380097810009</v>
      </c>
      <c r="F91" s="21">
        <f>+C91-207441</f>
        <v>216654</v>
      </c>
      <c r="G91" s="21">
        <f>+D91-210874</f>
        <v>213009</v>
      </c>
      <c r="H91" s="23">
        <f t="shared" si="41"/>
        <v>0.017111953016069742</v>
      </c>
      <c r="I91" s="24">
        <f t="shared" si="42"/>
        <v>37.89309062827904</v>
      </c>
      <c r="J91" s="24">
        <f t="shared" si="43"/>
        <v>74.17481454300405</v>
      </c>
      <c r="K91" s="21">
        <v>16070270.27</v>
      </c>
      <c r="L91" s="21">
        <v>14701569.39</v>
      </c>
      <c r="M91" s="25">
        <f t="shared" si="44"/>
        <v>0.09309896404196062</v>
      </c>
      <c r="N91" s="10"/>
      <c r="R91" s="2"/>
    </row>
    <row r="92" spans="1:18" ht="15.75" customHeight="1">
      <c r="A92" s="19"/>
      <c r="B92" s="20">
        <f>DATE(2015,10,1)</f>
        <v>42278</v>
      </c>
      <c r="C92" s="21">
        <v>431910</v>
      </c>
      <c r="D92" s="21">
        <v>423551</v>
      </c>
      <c r="E92" s="23">
        <f t="shared" si="40"/>
        <v>0.019735521814374185</v>
      </c>
      <c r="F92" s="21">
        <f>+C92-215543</f>
        <v>216367</v>
      </c>
      <c r="G92" s="21">
        <f>+D92-214777</f>
        <v>208774</v>
      </c>
      <c r="H92" s="23">
        <f t="shared" si="41"/>
        <v>0.03636947129431826</v>
      </c>
      <c r="I92" s="24">
        <f t="shared" si="42"/>
        <v>36.9180300062513</v>
      </c>
      <c r="J92" s="24">
        <f t="shared" si="43"/>
        <v>73.69546344867747</v>
      </c>
      <c r="K92" s="21">
        <v>15945266.34</v>
      </c>
      <c r="L92" s="21">
        <v>15825241.34</v>
      </c>
      <c r="M92" s="25">
        <f t="shared" si="44"/>
        <v>0.007584402501124826</v>
      </c>
      <c r="N92" s="10"/>
      <c r="R92" s="2"/>
    </row>
    <row r="93" spans="1:18" ht="15.75" customHeight="1">
      <c r="A93" s="19"/>
      <c r="B93" s="20">
        <f>DATE(2015,11,1)</f>
        <v>42309</v>
      </c>
      <c r="C93" s="21">
        <v>399222</v>
      </c>
      <c r="D93" s="21">
        <v>431949</v>
      </c>
      <c r="E93" s="23">
        <f t="shared" si="40"/>
        <v>-0.07576588902856587</v>
      </c>
      <c r="F93" s="21">
        <f>+C93-198189</f>
        <v>201033</v>
      </c>
      <c r="G93" s="21">
        <f>+D93-216466</f>
        <v>215483</v>
      </c>
      <c r="H93" s="23">
        <f t="shared" si="41"/>
        <v>-0.06705865427899185</v>
      </c>
      <c r="I93" s="24">
        <f t="shared" si="42"/>
        <v>38.73731337451343</v>
      </c>
      <c r="J93" s="24">
        <f t="shared" si="43"/>
        <v>76.92661264568504</v>
      </c>
      <c r="K93" s="21">
        <v>15464787.72</v>
      </c>
      <c r="L93" s="21">
        <v>14670113.2</v>
      </c>
      <c r="M93" s="25">
        <f t="shared" si="44"/>
        <v>0.054169624267112096</v>
      </c>
      <c r="N93" s="10"/>
      <c r="R93" s="2"/>
    </row>
    <row r="94" spans="1:18" ht="15.75" customHeight="1">
      <c r="A94" s="19"/>
      <c r="B94" s="20">
        <f>DATE(2015,12,1)</f>
        <v>42339</v>
      </c>
      <c r="C94" s="21">
        <v>444710</v>
      </c>
      <c r="D94" s="21">
        <v>445795</v>
      </c>
      <c r="E94" s="23">
        <f t="shared" si="40"/>
        <v>-0.0024338541257753004</v>
      </c>
      <c r="F94" s="21">
        <f>+C94-223999</f>
        <v>220711</v>
      </c>
      <c r="G94" s="21">
        <f>+D94-226584</f>
        <v>219211</v>
      </c>
      <c r="H94" s="23">
        <f t="shared" si="41"/>
        <v>0.0068427223086432705</v>
      </c>
      <c r="I94" s="24">
        <f t="shared" si="42"/>
        <v>37.59778988554339</v>
      </c>
      <c r="J94" s="24">
        <f t="shared" si="43"/>
        <v>75.75568567040156</v>
      </c>
      <c r="K94" s="21">
        <v>16720113.14</v>
      </c>
      <c r="L94" s="21">
        <v>15626586.05</v>
      </c>
      <c r="M94" s="25">
        <f t="shared" si="44"/>
        <v>0.0699786304251657</v>
      </c>
      <c r="N94" s="10"/>
      <c r="R94" s="2"/>
    </row>
    <row r="95" spans="1:18" ht="15.75" customHeight="1">
      <c r="A95" s="19"/>
      <c r="B95" s="20">
        <f>DATE(2016,1,1)</f>
        <v>42370</v>
      </c>
      <c r="C95" s="21">
        <v>440986</v>
      </c>
      <c r="D95" s="21">
        <v>454806</v>
      </c>
      <c r="E95" s="23">
        <f t="shared" si="40"/>
        <v>-0.030386582410962037</v>
      </c>
      <c r="F95" s="21">
        <f>+C95-223461</f>
        <v>217525</v>
      </c>
      <c r="G95" s="21">
        <f>+D95-232827</f>
        <v>221979</v>
      </c>
      <c r="H95" s="23">
        <f t="shared" si="41"/>
        <v>-0.020064961099923867</v>
      </c>
      <c r="I95" s="24">
        <f t="shared" si="42"/>
        <v>36.163687101177814</v>
      </c>
      <c r="J95" s="24">
        <f t="shared" si="43"/>
        <v>73.31423845534997</v>
      </c>
      <c r="K95" s="21">
        <v>15947679.72</v>
      </c>
      <c r="L95" s="21">
        <v>16371402.71</v>
      </c>
      <c r="M95" s="25">
        <f t="shared" si="44"/>
        <v>-0.025881898912741376</v>
      </c>
      <c r="N95" s="10"/>
      <c r="R95" s="2"/>
    </row>
    <row r="96" spans="1:18" ht="15.75" customHeight="1" thickBot="1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thickBot="1" thickTop="1">
      <c r="A97" s="39" t="s">
        <v>14</v>
      </c>
      <c r="B97" s="40"/>
      <c r="C97" s="41">
        <f>SUM(C89:C96)</f>
        <v>3065475</v>
      </c>
      <c r="D97" s="41">
        <f>SUM(D89:D96)</f>
        <v>3197218</v>
      </c>
      <c r="E97" s="280">
        <f>(+C97-D97)/D97</f>
        <v>-0.041205510540726346</v>
      </c>
      <c r="F97" s="41">
        <f>SUM(F89:F96)</f>
        <v>1537730</v>
      </c>
      <c r="G97" s="41">
        <f>SUM(G89:G96)</f>
        <v>1591023</v>
      </c>
      <c r="H97" s="42">
        <f>(+F97-G97)/G97</f>
        <v>-0.03349605882504527</v>
      </c>
      <c r="I97" s="43">
        <f>K97/C97</f>
        <v>37.32260234058343</v>
      </c>
      <c r="J97" s="43">
        <f>K97/F97</f>
        <v>74.40285642472996</v>
      </c>
      <c r="K97" s="41">
        <f>SUM(K89:K96)</f>
        <v>114411504.41</v>
      </c>
      <c r="L97" s="41">
        <f>SUM(L89:L96)</f>
        <v>112005407.07</v>
      </c>
      <c r="M97" s="44">
        <f>(+K97-L97)/L97</f>
        <v>0.02148197487016199</v>
      </c>
      <c r="N97" s="10"/>
      <c r="R97" s="2"/>
    </row>
    <row r="98" spans="1:18" ht="15.75" customHeight="1" thickTop="1">
      <c r="A98" s="54"/>
      <c r="B98" s="55"/>
      <c r="C98" s="55"/>
      <c r="D98" s="55"/>
      <c r="E98" s="56"/>
      <c r="F98" s="55"/>
      <c r="G98" s="55"/>
      <c r="H98" s="56"/>
      <c r="I98" s="55"/>
      <c r="J98" s="55"/>
      <c r="K98" s="196"/>
      <c r="L98" s="196"/>
      <c r="M98" s="57"/>
      <c r="N98" s="10"/>
      <c r="R98" s="2"/>
    </row>
    <row r="99" spans="1:18" ht="15.75" customHeight="1">
      <c r="A99" s="19" t="s">
        <v>58</v>
      </c>
      <c r="B99" s="20">
        <f>DATE(2015,7,1)</f>
        <v>42186</v>
      </c>
      <c r="C99" s="21">
        <v>514553</v>
      </c>
      <c r="D99" s="21">
        <v>498239</v>
      </c>
      <c r="E99" s="23">
        <f aca="true" t="shared" si="45" ref="E99:E105">(+C99-D99)/D99</f>
        <v>0.03274332198001361</v>
      </c>
      <c r="F99" s="21">
        <f>+C99-259358</f>
        <v>255195</v>
      </c>
      <c r="G99" s="21">
        <f>+D99-242414</f>
        <v>255825</v>
      </c>
      <c r="H99" s="23">
        <f aca="true" t="shared" si="46" ref="H99:H105">(+F99-G99)/G99</f>
        <v>-0.0024626209322779246</v>
      </c>
      <c r="I99" s="24">
        <f aca="true" t="shared" si="47" ref="I99:I105">K99/C99</f>
        <v>35.29978771866067</v>
      </c>
      <c r="J99" s="24">
        <f aca="true" t="shared" si="48" ref="J99:J105">K99/F99</f>
        <v>71.17542142283352</v>
      </c>
      <c r="K99" s="21">
        <v>18163611.67</v>
      </c>
      <c r="L99" s="21">
        <v>17739276.55</v>
      </c>
      <c r="M99" s="25">
        <f aca="true" t="shared" si="49" ref="M99:M105">(+K99-L99)/L99</f>
        <v>0.02392065532120029</v>
      </c>
      <c r="N99" s="10"/>
      <c r="R99" s="2"/>
    </row>
    <row r="100" spans="1:18" ht="15.75" customHeight="1">
      <c r="A100" s="19"/>
      <c r="B100" s="20">
        <f>DATE(2015,8,1)</f>
        <v>42217</v>
      </c>
      <c r="C100" s="21">
        <v>515094</v>
      </c>
      <c r="D100" s="21">
        <v>548272</v>
      </c>
      <c r="E100" s="23">
        <f t="shared" si="45"/>
        <v>-0.06051375959377827</v>
      </c>
      <c r="F100" s="21">
        <f>+C100-257865</f>
        <v>257229</v>
      </c>
      <c r="G100" s="21">
        <f>+D100-270985</f>
        <v>277287</v>
      </c>
      <c r="H100" s="23">
        <f t="shared" si="46"/>
        <v>-0.07233660431249932</v>
      </c>
      <c r="I100" s="24">
        <f t="shared" si="47"/>
        <v>36.984126761329</v>
      </c>
      <c r="J100" s="24">
        <f t="shared" si="48"/>
        <v>74.05969696262862</v>
      </c>
      <c r="K100" s="21">
        <v>19050301.79</v>
      </c>
      <c r="L100" s="21">
        <v>18933634.27</v>
      </c>
      <c r="M100" s="25">
        <f t="shared" si="49"/>
        <v>0.006161918960527146</v>
      </c>
      <c r="N100" s="10"/>
      <c r="R100" s="2"/>
    </row>
    <row r="101" spans="1:18" ht="15.75" customHeight="1">
      <c r="A101" s="19"/>
      <c r="B101" s="20">
        <f>DATE(2015,9,1)</f>
        <v>42248</v>
      </c>
      <c r="C101" s="21">
        <v>478366</v>
      </c>
      <c r="D101" s="21">
        <v>462127</v>
      </c>
      <c r="E101" s="23">
        <f t="shared" si="45"/>
        <v>0.03513969103731225</v>
      </c>
      <c r="F101" s="21">
        <f>+C101-245197</f>
        <v>233169</v>
      </c>
      <c r="G101" s="21">
        <f>+D101-224687</f>
        <v>237440</v>
      </c>
      <c r="H101" s="23">
        <f t="shared" si="46"/>
        <v>-0.01798770215633423</v>
      </c>
      <c r="I101" s="24">
        <f t="shared" si="47"/>
        <v>35.96913904834374</v>
      </c>
      <c r="J101" s="24">
        <f t="shared" si="48"/>
        <v>73.79374260729342</v>
      </c>
      <c r="K101" s="21">
        <v>17206413.17</v>
      </c>
      <c r="L101" s="21">
        <v>16685034.36</v>
      </c>
      <c r="M101" s="25">
        <f t="shared" si="49"/>
        <v>0.031248291058359103</v>
      </c>
      <c r="N101" s="10"/>
      <c r="R101" s="2"/>
    </row>
    <row r="102" spans="1:18" ht="15.75" customHeight="1">
      <c r="A102" s="19"/>
      <c r="B102" s="20">
        <f>DATE(2015,10,1)</f>
        <v>42278</v>
      </c>
      <c r="C102" s="21">
        <v>530259</v>
      </c>
      <c r="D102" s="21">
        <v>489378</v>
      </c>
      <c r="E102" s="23">
        <f t="shared" si="45"/>
        <v>0.08353665264887265</v>
      </c>
      <c r="F102" s="21">
        <f>+C102-268433</f>
        <v>261826</v>
      </c>
      <c r="G102" s="21">
        <f>+D102-239568</f>
        <v>249810</v>
      </c>
      <c r="H102" s="23">
        <f t="shared" si="46"/>
        <v>0.04810055642288139</v>
      </c>
      <c r="I102" s="24">
        <f t="shared" si="47"/>
        <v>36.97659198618034</v>
      </c>
      <c r="J102" s="24">
        <f t="shared" si="48"/>
        <v>74.88626297617502</v>
      </c>
      <c r="K102" s="21">
        <v>19607170.69</v>
      </c>
      <c r="L102" s="21">
        <v>17092830.32</v>
      </c>
      <c r="M102" s="25">
        <f t="shared" si="49"/>
        <v>0.14709912418998383</v>
      </c>
      <c r="N102" s="10"/>
      <c r="R102" s="2"/>
    </row>
    <row r="103" spans="1:18" ht="15.75" customHeight="1">
      <c r="A103" s="19"/>
      <c r="B103" s="20">
        <f>DATE(2015,11,1)</f>
        <v>42309</v>
      </c>
      <c r="C103" s="21">
        <v>481687</v>
      </c>
      <c r="D103" s="21">
        <v>484208</v>
      </c>
      <c r="E103" s="23">
        <f t="shared" si="45"/>
        <v>-0.005206440207514126</v>
      </c>
      <c r="F103" s="21">
        <f>+C103-239742</f>
        <v>241945</v>
      </c>
      <c r="G103" s="21">
        <f>+D103-233243</f>
        <v>250965</v>
      </c>
      <c r="H103" s="23">
        <f t="shared" si="46"/>
        <v>-0.03594126671049748</v>
      </c>
      <c r="I103" s="24">
        <f t="shared" si="47"/>
        <v>38.01019184657257</v>
      </c>
      <c r="J103" s="24">
        <f t="shared" si="48"/>
        <v>75.67428663539235</v>
      </c>
      <c r="K103" s="21">
        <v>18309015.28</v>
      </c>
      <c r="L103" s="21">
        <v>17323021.99</v>
      </c>
      <c r="M103" s="25">
        <f t="shared" si="49"/>
        <v>0.056918087996954796</v>
      </c>
      <c r="N103" s="10"/>
      <c r="R103" s="2"/>
    </row>
    <row r="104" spans="1:18" ht="15.75" customHeight="1">
      <c r="A104" s="19"/>
      <c r="B104" s="20">
        <f>DATE(2015,12,1)</f>
        <v>42339</v>
      </c>
      <c r="C104" s="21">
        <v>494188</v>
      </c>
      <c r="D104" s="21">
        <v>492618</v>
      </c>
      <c r="E104" s="23">
        <f t="shared" si="45"/>
        <v>0.00318705366023978</v>
      </c>
      <c r="F104" s="21">
        <f>+C104-241762</f>
        <v>252426</v>
      </c>
      <c r="G104" s="21">
        <f>+D104-245125</f>
        <v>247493</v>
      </c>
      <c r="H104" s="23">
        <f t="shared" si="46"/>
        <v>0.01993187686116375</v>
      </c>
      <c r="I104" s="24">
        <f t="shared" si="47"/>
        <v>36.701314277157685</v>
      </c>
      <c r="J104" s="24">
        <f t="shared" si="48"/>
        <v>71.85214320236426</v>
      </c>
      <c r="K104" s="21">
        <v>18137349.1</v>
      </c>
      <c r="L104" s="21">
        <v>17756477.32</v>
      </c>
      <c r="M104" s="25">
        <f t="shared" si="49"/>
        <v>0.021449737644245823</v>
      </c>
      <c r="N104" s="10"/>
      <c r="R104" s="2"/>
    </row>
    <row r="105" spans="1:18" ht="15.75" customHeight="1">
      <c r="A105" s="19"/>
      <c r="B105" s="20">
        <f>DATE(2016,1,1)</f>
        <v>42370</v>
      </c>
      <c r="C105" s="21">
        <v>487288</v>
      </c>
      <c r="D105" s="21">
        <v>498176</v>
      </c>
      <c r="E105" s="23">
        <f t="shared" si="45"/>
        <v>-0.021855729701952722</v>
      </c>
      <c r="F105" s="21">
        <f>+C105-242965</f>
        <v>244323</v>
      </c>
      <c r="G105" s="21">
        <f>+D105-252306</f>
        <v>245870</v>
      </c>
      <c r="H105" s="23">
        <f t="shared" si="46"/>
        <v>-0.006291942896652703</v>
      </c>
      <c r="I105" s="24">
        <f t="shared" si="47"/>
        <v>37.457704683883044</v>
      </c>
      <c r="J105" s="24">
        <f t="shared" si="48"/>
        <v>74.70721135545978</v>
      </c>
      <c r="K105" s="21">
        <v>18252690</v>
      </c>
      <c r="L105" s="21">
        <v>17785680.58</v>
      </c>
      <c r="M105" s="25">
        <f t="shared" si="49"/>
        <v>0.026257607511806662</v>
      </c>
      <c r="N105" s="10"/>
      <c r="R105" s="2"/>
    </row>
    <row r="106" spans="1:18" ht="15.75" customHeight="1" thickBot="1">
      <c r="A106" s="19"/>
      <c r="B106" s="45"/>
      <c r="C106" s="21"/>
      <c r="D106" s="21"/>
      <c r="E106" s="23"/>
      <c r="F106" s="21"/>
      <c r="G106" s="21"/>
      <c r="H106" s="23"/>
      <c r="I106" s="24"/>
      <c r="J106" s="24"/>
      <c r="K106" s="21"/>
      <c r="L106" s="21"/>
      <c r="M106" s="25"/>
      <c r="N106" s="10"/>
      <c r="R106" s="2"/>
    </row>
    <row r="107" spans="1:18" ht="17.25" thickBot="1" thickTop="1">
      <c r="A107" s="39" t="s">
        <v>14</v>
      </c>
      <c r="B107" s="40"/>
      <c r="C107" s="41">
        <f>SUM(C99:C106)</f>
        <v>3501435</v>
      </c>
      <c r="D107" s="41">
        <f>SUM(D99:D106)</f>
        <v>3473018</v>
      </c>
      <c r="E107" s="280">
        <f>(+C107-D107)/D107</f>
        <v>0.008182220765915984</v>
      </c>
      <c r="F107" s="41">
        <f>SUM(F99:F106)</f>
        <v>1746113</v>
      </c>
      <c r="G107" s="41">
        <f>SUM(G99:G106)</f>
        <v>1764690</v>
      </c>
      <c r="H107" s="42">
        <f>(+F107-G107)/G107</f>
        <v>-0.01052706141021936</v>
      </c>
      <c r="I107" s="43">
        <f>K107/C107</f>
        <v>36.763941555390865</v>
      </c>
      <c r="J107" s="43">
        <f>K107/F107</f>
        <v>73.72177613934494</v>
      </c>
      <c r="K107" s="41">
        <f>SUM(K99:K106)</f>
        <v>128726551.70000002</v>
      </c>
      <c r="L107" s="41">
        <f>SUM(L99:L106)</f>
        <v>123315955.39</v>
      </c>
      <c r="M107" s="44">
        <f>(+K107-L107)/L107</f>
        <v>0.04387588202101199</v>
      </c>
      <c r="N107" s="10"/>
      <c r="R107" s="2"/>
    </row>
    <row r="108" spans="1:18" ht="15.75" customHeight="1" thickTop="1">
      <c r="A108" s="58"/>
      <c r="B108" s="59"/>
      <c r="C108" s="59"/>
      <c r="D108" s="59"/>
      <c r="E108" s="60"/>
      <c r="F108" s="59"/>
      <c r="G108" s="59"/>
      <c r="H108" s="60"/>
      <c r="I108" s="59"/>
      <c r="J108" s="59"/>
      <c r="K108" s="197"/>
      <c r="L108" s="197"/>
      <c r="M108" s="61"/>
      <c r="N108" s="10"/>
      <c r="R108" s="2"/>
    </row>
    <row r="109" spans="1:18" ht="15" customHeight="1">
      <c r="A109" s="19" t="s">
        <v>59</v>
      </c>
      <c r="B109" s="20">
        <f>DATE(2015,7,1)</f>
        <v>42186</v>
      </c>
      <c r="C109" s="21">
        <v>86369</v>
      </c>
      <c r="D109" s="21">
        <v>84999</v>
      </c>
      <c r="E109" s="23">
        <f aca="true" t="shared" si="50" ref="E109:E115">(+C109-D109)/D109</f>
        <v>0.016117836680431534</v>
      </c>
      <c r="F109" s="21">
        <f>+C109-43531</f>
        <v>42838</v>
      </c>
      <c r="G109" s="21">
        <f>+D109-43157</f>
        <v>41842</v>
      </c>
      <c r="H109" s="23">
        <f aca="true" t="shared" si="51" ref="H109:H115">(+F109-G109)/G109</f>
        <v>0.023803833468763445</v>
      </c>
      <c r="I109" s="24">
        <f aca="true" t="shared" si="52" ref="I109:I115">K109/C109</f>
        <v>36.13481121698757</v>
      </c>
      <c r="J109" s="24">
        <f aca="true" t="shared" si="53" ref="J109:J115">K109/F109</f>
        <v>72.85418343526774</v>
      </c>
      <c r="K109" s="21">
        <v>3120927.51</v>
      </c>
      <c r="L109" s="21">
        <v>3033838.74</v>
      </c>
      <c r="M109" s="25">
        <f aca="true" t="shared" si="54" ref="M109:M115">(+K109-L109)/L109</f>
        <v>0.028705800625381805</v>
      </c>
      <c r="N109" s="10"/>
      <c r="R109" s="2"/>
    </row>
    <row r="110" spans="1:18" ht="15" customHeight="1">
      <c r="A110" s="19"/>
      <c r="B110" s="20">
        <f>DATE(2015,8,1)</f>
        <v>42217</v>
      </c>
      <c r="C110" s="21">
        <v>84564</v>
      </c>
      <c r="D110" s="21">
        <v>89307</v>
      </c>
      <c r="E110" s="23">
        <f t="shared" si="50"/>
        <v>-0.05310893882898317</v>
      </c>
      <c r="F110" s="21">
        <f>+C110-42390</f>
        <v>42174</v>
      </c>
      <c r="G110" s="21">
        <f>+D110-44522</f>
        <v>44785</v>
      </c>
      <c r="H110" s="23">
        <f t="shared" si="51"/>
        <v>-0.05830077034721447</v>
      </c>
      <c r="I110" s="24">
        <f t="shared" si="52"/>
        <v>35.948111607776355</v>
      </c>
      <c r="J110" s="24">
        <f t="shared" si="53"/>
        <v>72.08033646322379</v>
      </c>
      <c r="K110" s="21">
        <v>3039916.11</v>
      </c>
      <c r="L110" s="21">
        <v>3250397.13</v>
      </c>
      <c r="M110" s="25">
        <f t="shared" si="54"/>
        <v>-0.06475547804830853</v>
      </c>
      <c r="N110" s="10"/>
      <c r="R110" s="2"/>
    </row>
    <row r="111" spans="1:18" ht="15" customHeight="1">
      <c r="A111" s="19"/>
      <c r="B111" s="20">
        <f>DATE(2015,9,1)</f>
        <v>42248</v>
      </c>
      <c r="C111" s="21">
        <v>79303</v>
      </c>
      <c r="D111" s="21">
        <v>78430</v>
      </c>
      <c r="E111" s="23">
        <f t="shared" si="50"/>
        <v>0.011130944791533853</v>
      </c>
      <c r="F111" s="21">
        <f>+C111-39341</f>
        <v>39962</v>
      </c>
      <c r="G111" s="21">
        <f>+D111-39135</f>
        <v>39295</v>
      </c>
      <c r="H111" s="23">
        <f t="shared" si="51"/>
        <v>0.016974169741697416</v>
      </c>
      <c r="I111" s="24">
        <f t="shared" si="52"/>
        <v>37.316061183057386</v>
      </c>
      <c r="J111" s="24">
        <f t="shared" si="53"/>
        <v>74.05223962764627</v>
      </c>
      <c r="K111" s="21">
        <v>2959275.6</v>
      </c>
      <c r="L111" s="21">
        <v>2730913.84</v>
      </c>
      <c r="M111" s="25">
        <f t="shared" si="54"/>
        <v>0.08362100504789279</v>
      </c>
      <c r="N111" s="10"/>
      <c r="R111" s="2"/>
    </row>
    <row r="112" spans="1:18" ht="15" customHeight="1">
      <c r="A112" s="19"/>
      <c r="B112" s="20">
        <f>DATE(2015,10,1)</f>
        <v>42278</v>
      </c>
      <c r="C112" s="21">
        <v>82043</v>
      </c>
      <c r="D112" s="21">
        <v>82199</v>
      </c>
      <c r="E112" s="23">
        <f t="shared" si="50"/>
        <v>-0.0018978333069745374</v>
      </c>
      <c r="F112" s="21">
        <f>+C112-41359</f>
        <v>40684</v>
      </c>
      <c r="G112" s="21">
        <f>+D112-41678</f>
        <v>40521</v>
      </c>
      <c r="H112" s="23">
        <f t="shared" si="51"/>
        <v>0.004022605562547815</v>
      </c>
      <c r="I112" s="24">
        <f t="shared" si="52"/>
        <v>37.6119707958022</v>
      </c>
      <c r="J112" s="24">
        <f t="shared" si="53"/>
        <v>75.84797266738767</v>
      </c>
      <c r="K112" s="21">
        <v>3085798.92</v>
      </c>
      <c r="L112" s="21">
        <v>2982837.1</v>
      </c>
      <c r="M112" s="25">
        <f t="shared" si="54"/>
        <v>0.03451808347160488</v>
      </c>
      <c r="N112" s="10"/>
      <c r="R112" s="2"/>
    </row>
    <row r="113" spans="1:18" ht="15" customHeight="1">
      <c r="A113" s="19"/>
      <c r="B113" s="20">
        <f>DATE(2015,11,1)</f>
        <v>42309</v>
      </c>
      <c r="C113" s="21">
        <v>72836</v>
      </c>
      <c r="D113" s="21">
        <v>78781</v>
      </c>
      <c r="E113" s="23">
        <f t="shared" si="50"/>
        <v>-0.07546235767507393</v>
      </c>
      <c r="F113" s="21">
        <f>+C113-37465</f>
        <v>35371</v>
      </c>
      <c r="G113" s="21">
        <f>+D113-39817</f>
        <v>38964</v>
      </c>
      <c r="H113" s="23">
        <f t="shared" si="51"/>
        <v>-0.09221332512062416</v>
      </c>
      <c r="I113" s="24">
        <f t="shared" si="52"/>
        <v>40.364291833708606</v>
      </c>
      <c r="J113" s="24">
        <f t="shared" si="53"/>
        <v>83.11819173899522</v>
      </c>
      <c r="K113" s="21">
        <v>2939973.56</v>
      </c>
      <c r="L113" s="21">
        <v>2805137.91</v>
      </c>
      <c r="M113" s="25">
        <f t="shared" si="54"/>
        <v>0.04806738717527079</v>
      </c>
      <c r="N113" s="10"/>
      <c r="R113" s="2"/>
    </row>
    <row r="114" spans="1:18" ht="15" customHeight="1">
      <c r="A114" s="19"/>
      <c r="B114" s="20">
        <f>DATE(2015,12,1)</f>
        <v>42339</v>
      </c>
      <c r="C114" s="21">
        <v>81183</v>
      </c>
      <c r="D114" s="21">
        <v>88756</v>
      </c>
      <c r="E114" s="23">
        <f t="shared" si="50"/>
        <v>-0.08532380909459643</v>
      </c>
      <c r="F114" s="21">
        <f>+C114-41229</f>
        <v>39954</v>
      </c>
      <c r="G114" s="21">
        <f>+D114-44272</f>
        <v>44484</v>
      </c>
      <c r="H114" s="23">
        <f t="shared" si="51"/>
        <v>-0.10183436741300243</v>
      </c>
      <c r="I114" s="24">
        <f t="shared" si="52"/>
        <v>37.829649803530295</v>
      </c>
      <c r="J114" s="24">
        <f t="shared" si="53"/>
        <v>76.86650798418181</v>
      </c>
      <c r="K114" s="21">
        <v>3071124.46</v>
      </c>
      <c r="L114" s="21">
        <v>3011286.54</v>
      </c>
      <c r="M114" s="25">
        <f t="shared" si="54"/>
        <v>0.01987121424851184</v>
      </c>
      <c r="N114" s="10"/>
      <c r="R114" s="2"/>
    </row>
    <row r="115" spans="1:18" ht="15" customHeight="1">
      <c r="A115" s="19"/>
      <c r="B115" s="20">
        <f>DATE(2016,1,1)</f>
        <v>42370</v>
      </c>
      <c r="C115" s="21">
        <v>77890</v>
      </c>
      <c r="D115" s="21">
        <v>80912</v>
      </c>
      <c r="E115" s="23">
        <f t="shared" si="50"/>
        <v>-0.03734921890448883</v>
      </c>
      <c r="F115" s="21">
        <f>+C115-39101</f>
        <v>38789</v>
      </c>
      <c r="G115" s="21">
        <f>+D115-41354</f>
        <v>39558</v>
      </c>
      <c r="H115" s="23">
        <f t="shared" si="51"/>
        <v>-0.01943980989938824</v>
      </c>
      <c r="I115" s="24">
        <f t="shared" si="52"/>
        <v>37.70299871613814</v>
      </c>
      <c r="J115" s="24">
        <f t="shared" si="53"/>
        <v>75.70926216195312</v>
      </c>
      <c r="K115" s="21">
        <v>2936686.57</v>
      </c>
      <c r="L115" s="21">
        <v>2750055.23</v>
      </c>
      <c r="M115" s="25">
        <f t="shared" si="54"/>
        <v>0.06786457885065815</v>
      </c>
      <c r="N115" s="10"/>
      <c r="R115" s="2"/>
    </row>
    <row r="116" spans="1:18" ht="15.75" thickBot="1">
      <c r="A116" s="38"/>
      <c r="B116" s="20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7.25" thickBot="1" thickTop="1">
      <c r="A117" s="62" t="s">
        <v>14</v>
      </c>
      <c r="B117" s="52"/>
      <c r="C117" s="48">
        <f>SUM(C109:C116)</f>
        <v>564188</v>
      </c>
      <c r="D117" s="48">
        <f>SUM(D109:D116)</f>
        <v>583384</v>
      </c>
      <c r="E117" s="280">
        <f>(+C117-D117)/D117</f>
        <v>-0.03290457057444154</v>
      </c>
      <c r="F117" s="48">
        <f>SUM(F109:F116)</f>
        <v>279772</v>
      </c>
      <c r="G117" s="48">
        <f>SUM(G109:G116)</f>
        <v>289449</v>
      </c>
      <c r="H117" s="42">
        <f>(+F117-G117)/G117</f>
        <v>-0.03343248724300309</v>
      </c>
      <c r="I117" s="50">
        <f>K117/C117</f>
        <v>37.494067101746225</v>
      </c>
      <c r="J117" s="50">
        <f>K117/F117</f>
        <v>75.61050687702844</v>
      </c>
      <c r="K117" s="48">
        <f>SUM(K109:K116)</f>
        <v>21153702.73</v>
      </c>
      <c r="L117" s="48">
        <f>SUM(L109:L116)</f>
        <v>20564466.490000002</v>
      </c>
      <c r="M117" s="44">
        <f>(+K117-L117)/L117</f>
        <v>0.02865312553994676</v>
      </c>
      <c r="N117" s="10"/>
      <c r="R117" s="2"/>
    </row>
    <row r="118" spans="1:18" ht="15.75" customHeight="1" thickTop="1">
      <c r="A118" s="19"/>
      <c r="B118" s="45"/>
      <c r="C118" s="21"/>
      <c r="D118" s="21"/>
      <c r="E118" s="23"/>
      <c r="F118" s="21"/>
      <c r="G118" s="21"/>
      <c r="H118" s="23"/>
      <c r="I118" s="24"/>
      <c r="J118" s="24"/>
      <c r="K118" s="21"/>
      <c r="L118" s="21"/>
      <c r="M118" s="25"/>
      <c r="N118" s="10"/>
      <c r="R118" s="2"/>
    </row>
    <row r="119" spans="1:18" ht="15.75">
      <c r="A119" s="19" t="s">
        <v>19</v>
      </c>
      <c r="B119" s="20">
        <f>DATE(2015,7,1)</f>
        <v>42186</v>
      </c>
      <c r="C119" s="21">
        <v>532259</v>
      </c>
      <c r="D119" s="21">
        <v>567277</v>
      </c>
      <c r="E119" s="23">
        <f aca="true" t="shared" si="55" ref="E119:E125">(+C119-D119)/D119</f>
        <v>-0.06172998376454536</v>
      </c>
      <c r="F119" s="21">
        <f>+C119-268912</f>
        <v>263347</v>
      </c>
      <c r="G119" s="21">
        <f>+D119-297396</f>
        <v>269881</v>
      </c>
      <c r="H119" s="23">
        <f aca="true" t="shared" si="56" ref="H119:H125">(+F119-G119)/G119</f>
        <v>-0.024210670628906816</v>
      </c>
      <c r="I119" s="24">
        <f aca="true" t="shared" si="57" ref="I119:I125">K119/C119</f>
        <v>42.84615583766549</v>
      </c>
      <c r="J119" s="24">
        <f aca="true" t="shared" si="58" ref="J119:J125">K119/F119</f>
        <v>86.59772870015607</v>
      </c>
      <c r="K119" s="21">
        <v>22805252.06</v>
      </c>
      <c r="L119" s="21">
        <v>22612560.24</v>
      </c>
      <c r="M119" s="25">
        <f aca="true" t="shared" si="59" ref="M119:M125">(+K119-L119)/L119</f>
        <v>0.008521450820024451</v>
      </c>
      <c r="N119" s="10"/>
      <c r="R119" s="2"/>
    </row>
    <row r="120" spans="1:18" ht="15.75">
      <c r="A120" s="19"/>
      <c r="B120" s="20">
        <f>DATE(2015,8,1)</f>
        <v>42217</v>
      </c>
      <c r="C120" s="21">
        <v>515175</v>
      </c>
      <c r="D120" s="21">
        <v>609221</v>
      </c>
      <c r="E120" s="23">
        <f t="shared" si="55"/>
        <v>-0.15437090973554754</v>
      </c>
      <c r="F120" s="21">
        <f>+C120-255335</f>
        <v>259840</v>
      </c>
      <c r="G120" s="21">
        <f>+D120-314633</f>
        <v>294588</v>
      </c>
      <c r="H120" s="23">
        <f t="shared" si="56"/>
        <v>-0.11795456705636347</v>
      </c>
      <c r="I120" s="24">
        <f t="shared" si="57"/>
        <v>42.48255223953026</v>
      </c>
      <c r="J120" s="24">
        <f t="shared" si="58"/>
        <v>84.2285593057266</v>
      </c>
      <c r="K120" s="21">
        <v>21885948.85</v>
      </c>
      <c r="L120" s="21">
        <v>23746820.02</v>
      </c>
      <c r="M120" s="25">
        <f t="shared" si="59"/>
        <v>-0.07836296263806013</v>
      </c>
      <c r="N120" s="10"/>
      <c r="R120" s="2"/>
    </row>
    <row r="121" spans="1:18" ht="15.75">
      <c r="A121" s="19"/>
      <c r="B121" s="20">
        <f>DATE(2015,9,1)</f>
        <v>42248</v>
      </c>
      <c r="C121" s="21">
        <v>478143</v>
      </c>
      <c r="D121" s="21">
        <v>511921</v>
      </c>
      <c r="E121" s="23">
        <f t="shared" si="55"/>
        <v>-0.06598283719558291</v>
      </c>
      <c r="F121" s="21">
        <f>+C121-238994</f>
        <v>239149</v>
      </c>
      <c r="G121" s="21">
        <f>+D121-263857</f>
        <v>248064</v>
      </c>
      <c r="H121" s="23">
        <f t="shared" si="56"/>
        <v>-0.03593830624355005</v>
      </c>
      <c r="I121" s="24">
        <f t="shared" si="57"/>
        <v>43.54798221452578</v>
      </c>
      <c r="J121" s="24">
        <f t="shared" si="58"/>
        <v>87.06773961003391</v>
      </c>
      <c r="K121" s="21">
        <v>20822162.86</v>
      </c>
      <c r="L121" s="21">
        <v>20182265.22</v>
      </c>
      <c r="M121" s="25">
        <f t="shared" si="59"/>
        <v>0.031705937516165524</v>
      </c>
      <c r="N121" s="10"/>
      <c r="R121" s="2"/>
    </row>
    <row r="122" spans="1:18" ht="15.75">
      <c r="A122" s="19"/>
      <c r="B122" s="20">
        <f>DATE(2015,10,1)</f>
        <v>42278</v>
      </c>
      <c r="C122" s="21">
        <v>503455</v>
      </c>
      <c r="D122" s="21">
        <v>541325</v>
      </c>
      <c r="E122" s="23">
        <f t="shared" si="55"/>
        <v>-0.06995797349097123</v>
      </c>
      <c r="F122" s="21">
        <f>+C122-254713</f>
        <v>248742</v>
      </c>
      <c r="G122" s="21">
        <f>+D122-282682</f>
        <v>258643</v>
      </c>
      <c r="H122" s="23">
        <f t="shared" si="56"/>
        <v>-0.0382805643299838</v>
      </c>
      <c r="I122" s="24">
        <f t="shared" si="57"/>
        <v>43.968705425509725</v>
      </c>
      <c r="J122" s="24">
        <f t="shared" si="58"/>
        <v>88.99287048427688</v>
      </c>
      <c r="K122" s="21">
        <v>22136264.59</v>
      </c>
      <c r="L122" s="21">
        <v>21263399.77</v>
      </c>
      <c r="M122" s="25">
        <f t="shared" si="59"/>
        <v>0.0410501062596539</v>
      </c>
      <c r="N122" s="10"/>
      <c r="R122" s="2"/>
    </row>
    <row r="123" spans="1:18" ht="15.75">
      <c r="A123" s="19"/>
      <c r="B123" s="20">
        <f>DATE(2015,11,1)</f>
        <v>42309</v>
      </c>
      <c r="C123" s="21">
        <v>499887</v>
      </c>
      <c r="D123" s="21">
        <v>521626</v>
      </c>
      <c r="E123" s="23">
        <f t="shared" si="55"/>
        <v>-0.04167545329412261</v>
      </c>
      <c r="F123" s="21">
        <f>+C123-256715</f>
        <v>243172</v>
      </c>
      <c r="G123" s="21">
        <f>+D123-265041</f>
        <v>256585</v>
      </c>
      <c r="H123" s="23">
        <f t="shared" si="56"/>
        <v>-0.052275074536703235</v>
      </c>
      <c r="I123" s="24">
        <f t="shared" si="57"/>
        <v>42.858070383906764</v>
      </c>
      <c r="J123" s="24">
        <f t="shared" si="58"/>
        <v>88.10303912457026</v>
      </c>
      <c r="K123" s="21">
        <v>21424192.23</v>
      </c>
      <c r="L123" s="21">
        <v>21348832.19</v>
      </c>
      <c r="M123" s="25">
        <f t="shared" si="59"/>
        <v>0.0035299373440809785</v>
      </c>
      <c r="N123" s="10"/>
      <c r="R123" s="2"/>
    </row>
    <row r="124" spans="1:18" ht="15.75">
      <c r="A124" s="19"/>
      <c r="B124" s="20">
        <f>DATE(2015,12,1)</f>
        <v>42339</v>
      </c>
      <c r="C124" s="21">
        <v>514509</v>
      </c>
      <c r="D124" s="21">
        <v>551022</v>
      </c>
      <c r="E124" s="23">
        <f t="shared" si="55"/>
        <v>-0.06626414190359006</v>
      </c>
      <c r="F124" s="21">
        <f>+C124-263391</f>
        <v>251118</v>
      </c>
      <c r="G124" s="21">
        <f>+D124-283602</f>
        <v>267420</v>
      </c>
      <c r="H124" s="23">
        <f t="shared" si="56"/>
        <v>-0.060960287188691946</v>
      </c>
      <c r="I124" s="24">
        <f t="shared" si="57"/>
        <v>42.03842078564223</v>
      </c>
      <c r="J124" s="24">
        <f t="shared" si="58"/>
        <v>86.13140372255275</v>
      </c>
      <c r="K124" s="21">
        <v>21629145.84</v>
      </c>
      <c r="L124" s="21">
        <v>22466044.69</v>
      </c>
      <c r="M124" s="25">
        <f t="shared" si="59"/>
        <v>-0.03725172194518596</v>
      </c>
      <c r="N124" s="10"/>
      <c r="R124" s="2"/>
    </row>
    <row r="125" spans="1:18" ht="15.75">
      <c r="A125" s="19"/>
      <c r="B125" s="20">
        <f>DATE(2016,1,1)</f>
        <v>42370</v>
      </c>
      <c r="C125" s="21">
        <v>503236</v>
      </c>
      <c r="D125" s="21">
        <v>546386</v>
      </c>
      <c r="E125" s="23">
        <f t="shared" si="55"/>
        <v>-0.0789734729659984</v>
      </c>
      <c r="F125" s="21">
        <f>+C125-259113</f>
        <v>244123</v>
      </c>
      <c r="G125" s="21">
        <f>+D125-283429</f>
        <v>262957</v>
      </c>
      <c r="H125" s="23">
        <f t="shared" si="56"/>
        <v>-0.07162387766821192</v>
      </c>
      <c r="I125" s="24">
        <f t="shared" si="57"/>
        <v>43.321113751798364</v>
      </c>
      <c r="J125" s="24">
        <f t="shared" si="58"/>
        <v>89.30229433523265</v>
      </c>
      <c r="K125" s="21">
        <v>21800744</v>
      </c>
      <c r="L125" s="21">
        <v>22125620.49</v>
      </c>
      <c r="M125" s="25">
        <f t="shared" si="59"/>
        <v>-0.014683271375229052</v>
      </c>
      <c r="N125" s="10"/>
      <c r="R125" s="2"/>
    </row>
    <row r="126" spans="1:18" ht="15.75" thickBot="1">
      <c r="A126" s="38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7.25" thickBot="1" thickTop="1">
      <c r="A127" s="39" t="s">
        <v>14</v>
      </c>
      <c r="B127" s="40"/>
      <c r="C127" s="41">
        <f>SUM(C119:C126)</f>
        <v>3546664</v>
      </c>
      <c r="D127" s="41">
        <f>SUM(D119:D126)</f>
        <v>3848778</v>
      </c>
      <c r="E127" s="280">
        <f>(+C127-D127)/D127</f>
        <v>-0.0784960836920186</v>
      </c>
      <c r="F127" s="41">
        <f>SUM(F119:F126)</f>
        <v>1749491</v>
      </c>
      <c r="G127" s="41">
        <f>SUM(G119:G126)</f>
        <v>1858138</v>
      </c>
      <c r="H127" s="42">
        <f>(+F127-G127)/G127</f>
        <v>-0.058470899362695346</v>
      </c>
      <c r="I127" s="43">
        <f>K127/C127</f>
        <v>42.999198804848724</v>
      </c>
      <c r="J127" s="43">
        <f>K127/F127</f>
        <v>87.17033150213405</v>
      </c>
      <c r="K127" s="41">
        <f>SUM(K119:K126)</f>
        <v>152503710.43</v>
      </c>
      <c r="L127" s="41">
        <f>SUM(L119:L126)</f>
        <v>153745542.62</v>
      </c>
      <c r="M127" s="44">
        <f>(+K127-L127)/L127</f>
        <v>-0.008077191499914442</v>
      </c>
      <c r="N127" s="10"/>
      <c r="R127" s="2"/>
    </row>
    <row r="128" spans="1:18" ht="15.75" customHeight="1" thickTop="1">
      <c r="A128" s="19"/>
      <c r="B128" s="45"/>
      <c r="C128" s="21"/>
      <c r="D128" s="21"/>
      <c r="E128" s="23"/>
      <c r="F128" s="21"/>
      <c r="G128" s="21"/>
      <c r="H128" s="23"/>
      <c r="I128" s="24"/>
      <c r="J128" s="24"/>
      <c r="K128" s="21"/>
      <c r="L128" s="21"/>
      <c r="M128" s="25"/>
      <c r="N128" s="10"/>
      <c r="R128" s="2"/>
    </row>
    <row r="129" spans="1:18" ht="15.75">
      <c r="A129" s="19" t="s">
        <v>63</v>
      </c>
      <c r="B129" s="20">
        <f>DATE(2015,7,1)</f>
        <v>42186</v>
      </c>
      <c r="C129" s="21">
        <v>100949</v>
      </c>
      <c r="D129" s="21">
        <v>102496</v>
      </c>
      <c r="E129" s="23">
        <f aca="true" t="shared" si="60" ref="E129:E135">(+C129-D129)/D129</f>
        <v>-0.015093271932563221</v>
      </c>
      <c r="F129" s="21">
        <f>+C129-48677</f>
        <v>52272</v>
      </c>
      <c r="G129" s="21">
        <f>+D129-50077</f>
        <v>52419</v>
      </c>
      <c r="H129" s="23">
        <f aca="true" t="shared" si="61" ref="H129:H135">(+F129-G129)/G129</f>
        <v>-0.002804326675442111</v>
      </c>
      <c r="I129" s="24">
        <f aca="true" t="shared" si="62" ref="I129:I135">K129/C129</f>
        <v>33.72731190997435</v>
      </c>
      <c r="J129" s="24">
        <f aca="true" t="shared" si="63" ref="J129:J135">K129/F129</f>
        <v>65.13503233088461</v>
      </c>
      <c r="K129" s="21">
        <v>3404738.41</v>
      </c>
      <c r="L129" s="21">
        <v>3340421.34</v>
      </c>
      <c r="M129" s="25">
        <f aca="true" t="shared" si="64" ref="M129:M135">(+K129-L129)/L129</f>
        <v>0.019254178875530804</v>
      </c>
      <c r="N129" s="10"/>
      <c r="R129" s="2"/>
    </row>
    <row r="130" spans="1:18" ht="15.75">
      <c r="A130" s="19"/>
      <c r="B130" s="20">
        <f>DATE(2015,8,1)</f>
        <v>42217</v>
      </c>
      <c r="C130" s="21">
        <v>99494</v>
      </c>
      <c r="D130" s="21">
        <v>103432</v>
      </c>
      <c r="E130" s="23">
        <f t="shared" si="60"/>
        <v>-0.03807332353623637</v>
      </c>
      <c r="F130" s="21">
        <f>+C130-48236</f>
        <v>51258</v>
      </c>
      <c r="G130" s="21">
        <f>+D130-51483</f>
        <v>51949</v>
      </c>
      <c r="H130" s="23">
        <f t="shared" si="61"/>
        <v>-0.013301507247492734</v>
      </c>
      <c r="I130" s="24">
        <f t="shared" si="62"/>
        <v>33.06739793354373</v>
      </c>
      <c r="J130" s="24">
        <f t="shared" si="63"/>
        <v>64.18525283858129</v>
      </c>
      <c r="K130" s="21">
        <v>3290007.69</v>
      </c>
      <c r="L130" s="21">
        <v>3445802.46</v>
      </c>
      <c r="M130" s="25">
        <f t="shared" si="64"/>
        <v>-0.04521291391729984</v>
      </c>
      <c r="N130" s="10"/>
      <c r="R130" s="2"/>
    </row>
    <row r="131" spans="1:18" ht="15.75">
      <c r="A131" s="19"/>
      <c r="B131" s="20">
        <f>DATE(2015,9,1)</f>
        <v>42248</v>
      </c>
      <c r="C131" s="21">
        <v>92695</v>
      </c>
      <c r="D131" s="21">
        <v>97371</v>
      </c>
      <c r="E131" s="23">
        <f t="shared" si="60"/>
        <v>-0.04802251183617299</v>
      </c>
      <c r="F131" s="21">
        <f>+C131-44854</f>
        <v>47841</v>
      </c>
      <c r="G131" s="21">
        <f>+D131-46879</f>
        <v>50492</v>
      </c>
      <c r="H131" s="23">
        <f t="shared" si="61"/>
        <v>-0.05250336686999921</v>
      </c>
      <c r="I131" s="24">
        <f t="shared" si="62"/>
        <v>33.739623712174335</v>
      </c>
      <c r="J131" s="24">
        <f t="shared" si="63"/>
        <v>65.37268075500094</v>
      </c>
      <c r="K131" s="21">
        <v>3127494.42</v>
      </c>
      <c r="L131" s="21">
        <v>3077829.88</v>
      </c>
      <c r="M131" s="25">
        <f t="shared" si="64"/>
        <v>0.016136219978473938</v>
      </c>
      <c r="N131" s="10"/>
      <c r="R131" s="2"/>
    </row>
    <row r="132" spans="1:18" ht="15.75">
      <c r="A132" s="19"/>
      <c r="B132" s="20">
        <f>DATE(2015,10,1)</f>
        <v>42278</v>
      </c>
      <c r="C132" s="21">
        <v>96289</v>
      </c>
      <c r="D132" s="21">
        <v>97775</v>
      </c>
      <c r="E132" s="23">
        <f t="shared" si="60"/>
        <v>-0.015198159038609051</v>
      </c>
      <c r="F132" s="21">
        <f>+C132-46411</f>
        <v>49878</v>
      </c>
      <c r="G132" s="21">
        <f>+D132-48511</f>
        <v>49264</v>
      </c>
      <c r="H132" s="23">
        <f t="shared" si="61"/>
        <v>0.012463462163039948</v>
      </c>
      <c r="I132" s="24">
        <f t="shared" si="62"/>
        <v>33.37150733728671</v>
      </c>
      <c r="J132" s="24">
        <f t="shared" si="63"/>
        <v>64.42337443361802</v>
      </c>
      <c r="K132" s="21">
        <v>3213309.07</v>
      </c>
      <c r="L132" s="21">
        <v>3107472.28</v>
      </c>
      <c r="M132" s="25">
        <f t="shared" si="64"/>
        <v>0.03405880421884248</v>
      </c>
      <c r="N132" s="10"/>
      <c r="R132" s="2"/>
    </row>
    <row r="133" spans="1:18" ht="15.75">
      <c r="A133" s="19"/>
      <c r="B133" s="20">
        <f>DATE(2015,11,1)</f>
        <v>42309</v>
      </c>
      <c r="C133" s="21">
        <v>91334</v>
      </c>
      <c r="D133" s="21">
        <v>92234</v>
      </c>
      <c r="E133" s="23">
        <f t="shared" si="60"/>
        <v>-0.009757789968991912</v>
      </c>
      <c r="F133" s="21">
        <f>+C133-44474</f>
        <v>46860</v>
      </c>
      <c r="G133" s="21">
        <f>+D133-46503</f>
        <v>45731</v>
      </c>
      <c r="H133" s="23">
        <f t="shared" si="61"/>
        <v>0.024687848505390218</v>
      </c>
      <c r="I133" s="24">
        <f t="shared" si="62"/>
        <v>32.33058061619988</v>
      </c>
      <c r="J133" s="24">
        <f t="shared" si="63"/>
        <v>63.01496478873239</v>
      </c>
      <c r="K133" s="21">
        <v>2952881.25</v>
      </c>
      <c r="L133" s="21">
        <v>3022165.19</v>
      </c>
      <c r="M133" s="25">
        <f t="shared" si="64"/>
        <v>-0.02292526570991308</v>
      </c>
      <c r="N133" s="10"/>
      <c r="R133" s="2"/>
    </row>
    <row r="134" spans="1:18" ht="15.75">
      <c r="A134" s="19"/>
      <c r="B134" s="20">
        <f>DATE(2015,12,1)</f>
        <v>42339</v>
      </c>
      <c r="C134" s="21">
        <v>100697</v>
      </c>
      <c r="D134" s="21">
        <v>105150</v>
      </c>
      <c r="E134" s="23">
        <f t="shared" si="60"/>
        <v>-0.04234902520209225</v>
      </c>
      <c r="F134" s="21">
        <f>+C134-50096</f>
        <v>50601</v>
      </c>
      <c r="G134" s="21">
        <f>+D134-52693</f>
        <v>52457</v>
      </c>
      <c r="H134" s="23">
        <f t="shared" si="61"/>
        <v>-0.03538135997102389</v>
      </c>
      <c r="I134" s="24">
        <f t="shared" si="62"/>
        <v>32.45243214792894</v>
      </c>
      <c r="J134" s="24">
        <f t="shared" si="63"/>
        <v>64.58098772751526</v>
      </c>
      <c r="K134" s="21">
        <v>3267862.56</v>
      </c>
      <c r="L134" s="21">
        <v>3064296.08</v>
      </c>
      <c r="M134" s="25">
        <f t="shared" si="64"/>
        <v>0.06643172679318898</v>
      </c>
      <c r="N134" s="10"/>
      <c r="R134" s="2"/>
    </row>
    <row r="135" spans="1:18" ht="15.75">
      <c r="A135" s="19"/>
      <c r="B135" s="20">
        <f>DATE(2016,1,1)</f>
        <v>42370</v>
      </c>
      <c r="C135" s="21">
        <v>91689</v>
      </c>
      <c r="D135" s="21">
        <v>101607</v>
      </c>
      <c r="E135" s="23">
        <f t="shared" si="60"/>
        <v>-0.09761138504236913</v>
      </c>
      <c r="F135" s="21">
        <f>+C135-44968</f>
        <v>46721</v>
      </c>
      <c r="G135" s="21">
        <f>+D135-51822</f>
        <v>49785</v>
      </c>
      <c r="H135" s="23">
        <f t="shared" si="61"/>
        <v>-0.06154464196042985</v>
      </c>
      <c r="I135" s="24">
        <f t="shared" si="62"/>
        <v>35.255773538810544</v>
      </c>
      <c r="J135" s="24">
        <f t="shared" si="63"/>
        <v>69.18872926521264</v>
      </c>
      <c r="K135" s="21">
        <v>3232566.62</v>
      </c>
      <c r="L135" s="21">
        <v>3345220.66</v>
      </c>
      <c r="M135" s="25">
        <f t="shared" si="64"/>
        <v>-0.0336761163013982</v>
      </c>
      <c r="N135" s="10"/>
      <c r="R135" s="2"/>
    </row>
    <row r="136" spans="1:18" ht="15.75" thickBot="1">
      <c r="A136" s="38"/>
      <c r="B136" s="45"/>
      <c r="C136" s="21"/>
      <c r="D136" s="21"/>
      <c r="E136" s="23"/>
      <c r="F136" s="21"/>
      <c r="G136" s="21"/>
      <c r="H136" s="23"/>
      <c r="I136" s="24"/>
      <c r="J136" s="24"/>
      <c r="K136" s="21"/>
      <c r="L136" s="21"/>
      <c r="M136" s="25"/>
      <c r="N136" s="10"/>
      <c r="R136" s="2"/>
    </row>
    <row r="137" spans="1:18" ht="17.25" thickBot="1" thickTop="1">
      <c r="A137" s="26" t="s">
        <v>14</v>
      </c>
      <c r="B137" s="27"/>
      <c r="C137" s="28">
        <f>SUM(C129:C136)</f>
        <v>673147</v>
      </c>
      <c r="D137" s="28">
        <f>SUM(D129:D136)</f>
        <v>700065</v>
      </c>
      <c r="E137" s="280">
        <f>(+C137-D137)/D137</f>
        <v>-0.038450715290723005</v>
      </c>
      <c r="F137" s="28">
        <f>SUM(F129:F136)</f>
        <v>345431</v>
      </c>
      <c r="G137" s="28">
        <f>SUM(G129:G136)</f>
        <v>352097</v>
      </c>
      <c r="H137" s="42">
        <f>(+F137-G137)/G137</f>
        <v>-0.01893228286523316</v>
      </c>
      <c r="I137" s="43">
        <f>K137/C137</f>
        <v>33.40854229462509</v>
      </c>
      <c r="J137" s="43">
        <f>K137/F137</f>
        <v>65.10376897267471</v>
      </c>
      <c r="K137" s="28">
        <f>SUM(K129:K136)</f>
        <v>22488860.02</v>
      </c>
      <c r="L137" s="28">
        <f>SUM(L129:L136)</f>
        <v>22403207.889999997</v>
      </c>
      <c r="M137" s="44">
        <f>(+K137-L137)/L137</f>
        <v>0.003823208284302659</v>
      </c>
      <c r="N137" s="10"/>
      <c r="R137" s="2"/>
    </row>
    <row r="138" spans="1:18" ht="16.5" thickBot="1" thickTop="1">
      <c r="A138" s="63"/>
      <c r="B138" s="34"/>
      <c r="C138" s="35"/>
      <c r="D138" s="35"/>
      <c r="E138" s="29"/>
      <c r="F138" s="35"/>
      <c r="G138" s="35"/>
      <c r="H138" s="29"/>
      <c r="I138" s="36"/>
      <c r="J138" s="36"/>
      <c r="K138" s="35"/>
      <c r="L138" s="35"/>
      <c r="M138" s="37"/>
      <c r="N138" s="10"/>
      <c r="R138" s="2"/>
    </row>
    <row r="139" spans="1:18" ht="17.25" thickBot="1" thickTop="1">
      <c r="A139" s="64" t="s">
        <v>20</v>
      </c>
      <c r="B139" s="65"/>
      <c r="C139" s="28">
        <f>C137+C127+C57+C77+C87+C37+C17+C97+C107+C47+C117+C27+C67</f>
        <v>24851078</v>
      </c>
      <c r="D139" s="28">
        <f>D137+D127+D57+D77+D87+D37+D17+D97+D107+D47+D117+D27+D67</f>
        <v>25562186</v>
      </c>
      <c r="E139" s="279">
        <f>(+C139-D139)/D139</f>
        <v>-0.027818747582855394</v>
      </c>
      <c r="F139" s="28">
        <f>F137+F127+F57+F77+F87+F37+F17+F97+F107+F47+F117+F27+F67</f>
        <v>12469607</v>
      </c>
      <c r="G139" s="28">
        <f>G137+G127+G57+G77+G87+G37+G17+G97+G107+G47+G117+G27+G67</f>
        <v>12807071</v>
      </c>
      <c r="H139" s="30">
        <f>(+F139-G139)/G139</f>
        <v>-0.026349818783701597</v>
      </c>
      <c r="I139" s="31">
        <f>K139/C139</f>
        <v>39.607612150668075</v>
      </c>
      <c r="J139" s="31">
        <f>K139/F139</f>
        <v>78.93527510129229</v>
      </c>
      <c r="K139" s="28">
        <f>K137+K127+K57+K77+K87+K37+K17+K97+K107+K47+K117+K27+K67</f>
        <v>984291858.95</v>
      </c>
      <c r="L139" s="28">
        <f>L137+L127+L57+L77+L87+L37+L17+L97+L107+L47+L117+L27+L67</f>
        <v>963872752.55</v>
      </c>
      <c r="M139" s="32">
        <f>(+K139-L139)/L139</f>
        <v>0.021184441977408087</v>
      </c>
      <c r="N139" s="10"/>
      <c r="R139" s="2"/>
    </row>
    <row r="140" spans="1:18" ht="17.25" thickBot="1" thickTop="1">
      <c r="A140" s="64"/>
      <c r="B140" s="65"/>
      <c r="C140" s="28"/>
      <c r="D140" s="28"/>
      <c r="E140" s="29"/>
      <c r="F140" s="28"/>
      <c r="G140" s="28"/>
      <c r="H140" s="30"/>
      <c r="I140" s="31"/>
      <c r="J140" s="31"/>
      <c r="K140" s="28"/>
      <c r="L140" s="28"/>
      <c r="M140" s="32"/>
      <c r="N140" s="10"/>
      <c r="R140" s="2"/>
    </row>
    <row r="141" spans="1:18" ht="17.25" thickBot="1" thickTop="1">
      <c r="A141" s="64" t="s">
        <v>21</v>
      </c>
      <c r="B141" s="65"/>
      <c r="C141" s="28">
        <f>+C15+C25+C35+C45+C55+C65+C75+C85+C95+C105+C115+C125+C135</f>
        <v>3516183</v>
      </c>
      <c r="D141" s="28">
        <f>+D15+D25+D35+D45+D55+D65+D75+D85+D95+D105+D115+D125+D135</f>
        <v>3637095</v>
      </c>
      <c r="E141" s="279">
        <f>(+C141-D141)/D141</f>
        <v>-0.03324411377761648</v>
      </c>
      <c r="F141" s="28">
        <f>+F15+F25+F35+F45+F55+F65+F75+F85+F95+F105+F115+F125+F135</f>
        <v>1738500</v>
      </c>
      <c r="G141" s="28">
        <f>+G15+G25+G35+G45+G55+G65+G75+G85+G95+G105+G115+G125+G135</f>
        <v>1780564</v>
      </c>
      <c r="H141" s="30">
        <f>(+F141-G141)/G141</f>
        <v>-0.023623975324672405</v>
      </c>
      <c r="I141" s="31">
        <f>K141/C141</f>
        <v>39.464738794880695</v>
      </c>
      <c r="J141" s="31">
        <f>K141/F141</f>
        <v>79.81894946793211</v>
      </c>
      <c r="K141" s="28">
        <f>+K15+K25+K35+K45+K55+K65+K75+K85+K95+K105+K115+K125+K135</f>
        <v>138765243.64999998</v>
      </c>
      <c r="L141" s="28">
        <f>+L15+L25+L35+L45+L55+L65+L75+L85+L95+L105+L115+L125+L135</f>
        <v>138140728.02</v>
      </c>
      <c r="M141" s="44">
        <f>(+K141-L141)/L141</f>
        <v>0.004520865344719684</v>
      </c>
      <c r="N141" s="10"/>
      <c r="R141" s="2"/>
    </row>
    <row r="142" spans="1:18" ht="15.75" thickTop="1">
      <c r="A142" s="66"/>
      <c r="B142" s="67"/>
      <c r="C142" s="68"/>
      <c r="D142" s="67"/>
      <c r="E142" s="67"/>
      <c r="F142" s="67"/>
      <c r="G142" s="67"/>
      <c r="H142" s="67"/>
      <c r="I142" s="67"/>
      <c r="J142" s="67"/>
      <c r="K142" s="68"/>
      <c r="L142" s="68"/>
      <c r="M142" s="67"/>
      <c r="R142" s="2"/>
    </row>
    <row r="143" spans="1:18" ht="18.75">
      <c r="A143" s="264" t="s">
        <v>22</v>
      </c>
      <c r="B143" s="70"/>
      <c r="C143" s="71"/>
      <c r="D143" s="71"/>
      <c r="E143" s="71"/>
      <c r="F143" s="71"/>
      <c r="G143" s="71"/>
      <c r="H143" s="71"/>
      <c r="I143" s="71"/>
      <c r="J143" s="71"/>
      <c r="K143" s="198"/>
      <c r="L143" s="198"/>
      <c r="M143" s="71"/>
      <c r="N143" s="2"/>
      <c r="O143" s="2"/>
      <c r="P143" s="2"/>
      <c r="Q143" s="2"/>
      <c r="R143" s="2"/>
    </row>
    <row r="144" spans="1:18" ht="18">
      <c r="A144" s="69"/>
      <c r="B144" s="70"/>
      <c r="C144" s="71"/>
      <c r="D144" s="71"/>
      <c r="E144" s="71"/>
      <c r="F144" s="71"/>
      <c r="G144" s="71"/>
      <c r="H144" s="71"/>
      <c r="I144" s="71"/>
      <c r="J144" s="71"/>
      <c r="K144" s="198"/>
      <c r="L144" s="198"/>
      <c r="M144" s="71"/>
      <c r="N144" s="2"/>
      <c r="O144" s="2"/>
      <c r="P144" s="2"/>
      <c r="Q144" s="2"/>
      <c r="R144" s="2"/>
    </row>
    <row r="145" spans="1:18" ht="15.75">
      <c r="A145" s="72"/>
      <c r="B145" s="73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73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73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73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73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73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73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2"/>
      <c r="B152" s="73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">
      <c r="A153" s="2"/>
      <c r="B153" s="73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73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4"/>
      <c r="N154" s="2"/>
      <c r="O154" s="2"/>
      <c r="P154" s="2"/>
      <c r="Q154" s="2"/>
      <c r="R154" s="2"/>
    </row>
    <row r="155" spans="1:18" ht="15">
      <c r="A155" s="2"/>
      <c r="B155" s="73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4"/>
      <c r="N155" s="2"/>
      <c r="O155" s="2"/>
      <c r="P155" s="2"/>
      <c r="Q155" s="2"/>
      <c r="R155" s="2"/>
    </row>
    <row r="156" spans="1:18" ht="15">
      <c r="A156" s="2"/>
      <c r="B156" s="70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4"/>
      <c r="N156" s="2"/>
      <c r="O156" s="2"/>
      <c r="P156" s="2"/>
      <c r="Q156" s="2"/>
      <c r="R156" s="2"/>
    </row>
    <row r="157" spans="1:18" ht="15.75">
      <c r="A157" s="76"/>
      <c r="B157" s="70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.75">
      <c r="A158" s="76"/>
      <c r="B158" s="70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.75">
      <c r="A159" s="76"/>
      <c r="B159" s="70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70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.75">
      <c r="A161" s="76"/>
      <c r="B161" s="73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73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73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77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77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77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77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77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77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.75">
      <c r="A174" s="76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.75">
      <c r="A177" s="76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.75">
      <c r="A178" s="76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.75">
      <c r="A179" s="76"/>
      <c r="B179" s="77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77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77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77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77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77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77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77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77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.75">
      <c r="A192" s="76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.75">
      <c r="A195" s="76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.75">
      <c r="A201" s="76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.75">
      <c r="A204" s="76"/>
      <c r="B204" s="76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4" r:id="rId1"/>
  <rowBreaks count="2" manualBreakCount="2">
    <brk id="57" max="12" man="1"/>
    <brk id="1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showOutlineSymbols="0" zoomScalePageLayoutView="0" workbookViewId="0" topLeftCell="A1">
      <selection activeCell="A3" sqref="A3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DATE(2015,7,1)</f>
        <v>42186</v>
      </c>
      <c r="B10" s="89">
        <f>'MONTHLY STATS'!$C$9*2</f>
        <v>567862</v>
      </c>
      <c r="C10" s="89">
        <f>'MONTHLY STATS'!$C$19*2</f>
        <v>328648</v>
      </c>
      <c r="D10" s="89">
        <f>'MONTHLY STATS'!$C$29*2</f>
        <v>156452</v>
      </c>
      <c r="E10" s="89">
        <f>'MONTHLY STATS'!$C$39*2</f>
        <v>989800</v>
      </c>
      <c r="F10" s="89">
        <f>'MONTHLY STATS'!$C$49*2</f>
        <v>638416</v>
      </c>
      <c r="G10" s="89">
        <f>'MONTHLY STATS'!$C$59*2</f>
        <v>325682</v>
      </c>
      <c r="H10" s="89">
        <f>'MONTHLY STATS'!$C$69*2</f>
        <v>445524</v>
      </c>
      <c r="I10" s="89">
        <f>'MONTHLY STATS'!$C$79*2</f>
        <v>630434</v>
      </c>
      <c r="J10" s="89">
        <f>'MONTHLY STATS'!$C$89*2</f>
        <v>894100</v>
      </c>
      <c r="K10" s="89">
        <f>'MONTHLY STATS'!$C$99*2</f>
        <v>1029106</v>
      </c>
      <c r="L10" s="89">
        <f>'MONTHLY STATS'!$C$109*2</f>
        <v>172738</v>
      </c>
      <c r="M10" s="89">
        <f>'MONTHLY STATS'!$C$119*2</f>
        <v>1064518</v>
      </c>
      <c r="N10" s="89">
        <f>'MONTHLY STATS'!$C$129*2</f>
        <v>201898</v>
      </c>
      <c r="O10" s="90">
        <f aca="true" t="shared" si="0" ref="O10:O15">SUM(B10:N10)</f>
        <v>7445178</v>
      </c>
      <c r="P10" s="83"/>
    </row>
    <row r="11" spans="1:16" ht="15.75">
      <c r="A11" s="88">
        <f>DATE(2015,8,1)</f>
        <v>42217</v>
      </c>
      <c r="B11" s="89">
        <f>'MONTHLY STATS'!$C$10*2</f>
        <v>547336</v>
      </c>
      <c r="C11" s="89">
        <f>'MONTHLY STATS'!$C$20*2</f>
        <v>317948</v>
      </c>
      <c r="D11" s="89">
        <f>'MONTHLY STATS'!$C$30*2</f>
        <v>152380</v>
      </c>
      <c r="E11" s="89">
        <f>'MONTHLY STATS'!$C$40*2</f>
        <v>945548</v>
      </c>
      <c r="F11" s="89">
        <f>'MONTHLY STATS'!$C$50*2</f>
        <v>631310</v>
      </c>
      <c r="G11" s="89">
        <f>'MONTHLY STATS'!$C$60*2</f>
        <v>332762</v>
      </c>
      <c r="H11" s="89">
        <f>'MONTHLY STATS'!$C$70*2</f>
        <v>409544</v>
      </c>
      <c r="I11" s="89">
        <f>'MONTHLY STATS'!$C$80*2</f>
        <v>620944</v>
      </c>
      <c r="J11" s="89">
        <f>'MONTHLY STATS'!$C$90*2</f>
        <v>955004</v>
      </c>
      <c r="K11" s="89">
        <f>'MONTHLY STATS'!$C$100*2</f>
        <v>1030188</v>
      </c>
      <c r="L11" s="89">
        <f>'MONTHLY STATS'!$C$110*2</f>
        <v>169128</v>
      </c>
      <c r="M11" s="89">
        <f>'MONTHLY STATS'!$C$120*2</f>
        <v>1030350</v>
      </c>
      <c r="N11" s="89">
        <f>'MONTHLY STATS'!$C$130*2</f>
        <v>198988</v>
      </c>
      <c r="O11" s="90">
        <f t="shared" si="0"/>
        <v>7341430</v>
      </c>
      <c r="P11" s="83"/>
    </row>
    <row r="12" spans="1:16" ht="15.75">
      <c r="A12" s="88">
        <f>DATE(2015,9,1)</f>
        <v>42248</v>
      </c>
      <c r="B12" s="89">
        <f>'MONTHLY STATS'!$C$11*2</f>
        <v>532962</v>
      </c>
      <c r="C12" s="89">
        <f>'MONTHLY STATS'!$C$21*2</f>
        <v>292286</v>
      </c>
      <c r="D12" s="89">
        <f>'MONTHLY STATS'!$C$31*2</f>
        <v>151226</v>
      </c>
      <c r="E12" s="89">
        <f>'MONTHLY STATS'!$C$41*2</f>
        <v>852590</v>
      </c>
      <c r="F12" s="89">
        <f>'MONTHLY STATS'!$C$51*2</f>
        <v>586908</v>
      </c>
      <c r="G12" s="89">
        <f>'MONTHLY STATS'!$C$61*2</f>
        <v>315526</v>
      </c>
      <c r="H12" s="89">
        <f>'MONTHLY STATS'!$C$71*2</f>
        <v>390740</v>
      </c>
      <c r="I12" s="89">
        <f>'MONTHLY STATS'!$C$81*2</f>
        <v>683046</v>
      </c>
      <c r="J12" s="89">
        <f>'MONTHLY STATS'!$C$91*2</f>
        <v>848190</v>
      </c>
      <c r="K12" s="89">
        <f>'MONTHLY STATS'!$C$101*2</f>
        <v>956732</v>
      </c>
      <c r="L12" s="89">
        <f>'MONTHLY STATS'!$C$111*2</f>
        <v>158606</v>
      </c>
      <c r="M12" s="89">
        <f>'MONTHLY STATS'!$C$121*2</f>
        <v>956286</v>
      </c>
      <c r="N12" s="89">
        <f>'MONTHLY STATS'!$C$131*2</f>
        <v>185390</v>
      </c>
      <c r="O12" s="90">
        <f t="shared" si="0"/>
        <v>6910488</v>
      </c>
      <c r="P12" s="83"/>
    </row>
    <row r="13" spans="1:16" ht="15.75">
      <c r="A13" s="88">
        <f>DATE(2015,10,1)</f>
        <v>42278</v>
      </c>
      <c r="B13" s="89">
        <f>'MONTHLY STATS'!$C$12*2</f>
        <v>546174</v>
      </c>
      <c r="C13" s="89">
        <f>'MONTHLY STATS'!$C$22*2</f>
        <v>298590</v>
      </c>
      <c r="D13" s="89">
        <f>'MONTHLY STATS'!$C$32*2</f>
        <v>144800</v>
      </c>
      <c r="E13" s="89">
        <f>'MONTHLY STATS'!$C$42*2</f>
        <v>862710</v>
      </c>
      <c r="F13" s="89">
        <f>'MONTHLY STATS'!$C$52*2</f>
        <v>630142</v>
      </c>
      <c r="G13" s="89">
        <f>'MONTHLY STATS'!$C$62*2</f>
        <v>296958</v>
      </c>
      <c r="H13" s="89">
        <f>'MONTHLY STATS'!$C$72*2</f>
        <v>394966</v>
      </c>
      <c r="I13" s="89">
        <f>'MONTHLY STATS'!$C$82*2</f>
        <v>646712</v>
      </c>
      <c r="J13" s="89">
        <f>'MONTHLY STATS'!$C$92*2</f>
        <v>863820</v>
      </c>
      <c r="K13" s="89">
        <f>'MONTHLY STATS'!$C$102*2</f>
        <v>1060518</v>
      </c>
      <c r="L13" s="89">
        <f>'MONTHLY STATS'!$C$112*2</f>
        <v>164086</v>
      </c>
      <c r="M13" s="89">
        <f>'MONTHLY STATS'!$C$122*2</f>
        <v>1006910</v>
      </c>
      <c r="N13" s="89">
        <f>'MONTHLY STATS'!$C$132*2</f>
        <v>192578</v>
      </c>
      <c r="O13" s="90">
        <f t="shared" si="0"/>
        <v>7108964</v>
      </c>
      <c r="P13" s="83"/>
    </row>
    <row r="14" spans="1:16" ht="15.75">
      <c r="A14" s="88">
        <f>DATE(2015,11,1)</f>
        <v>42309</v>
      </c>
      <c r="B14" s="89">
        <f>'MONTHLY STATS'!$C$13*2</f>
        <v>515272</v>
      </c>
      <c r="C14" s="89">
        <f>'MONTHLY STATS'!$C$23*2</f>
        <v>276860</v>
      </c>
      <c r="D14" s="89">
        <f>'MONTHLY STATS'!$C$33*2</f>
        <v>135600</v>
      </c>
      <c r="E14" s="89">
        <f>'MONTHLY STATS'!$C$43*2</f>
        <v>840100</v>
      </c>
      <c r="F14" s="89">
        <f>'MONTHLY STATS'!$C$53*2</f>
        <v>594664</v>
      </c>
      <c r="G14" s="89">
        <f>'MONTHLY STATS'!$C$63*2</f>
        <v>284350</v>
      </c>
      <c r="H14" s="89">
        <f>'MONTHLY STATS'!$C$73*2</f>
        <v>348432</v>
      </c>
      <c r="I14" s="89">
        <f>'MONTHLY STATS'!$C$83*2</f>
        <v>601050</v>
      </c>
      <c r="J14" s="89">
        <f>'MONTHLY STATS'!$C$93*2</f>
        <v>798444</v>
      </c>
      <c r="K14" s="89">
        <f>'MONTHLY STATS'!$C$103*2</f>
        <v>963374</v>
      </c>
      <c r="L14" s="89">
        <f>'MONTHLY STATS'!$C$113*2</f>
        <v>145672</v>
      </c>
      <c r="M14" s="89">
        <f>'MONTHLY STATS'!$C$123*2</f>
        <v>999774</v>
      </c>
      <c r="N14" s="89">
        <f>'MONTHLY STATS'!$C$133*2</f>
        <v>182668</v>
      </c>
      <c r="O14" s="90">
        <f t="shared" si="0"/>
        <v>6686260</v>
      </c>
      <c r="P14" s="83"/>
    </row>
    <row r="15" spans="1:16" ht="15.75">
      <c r="A15" s="88">
        <f>DATE(2015,12,1)</f>
        <v>42339</v>
      </c>
      <c r="B15" s="89">
        <f>'MONTHLY STATS'!$C$14*2</f>
        <v>576004</v>
      </c>
      <c r="C15" s="89">
        <f>'MONTHLY STATS'!$C$24*2</f>
        <v>300122</v>
      </c>
      <c r="D15" s="89">
        <f>'MONTHLY STATS'!$C$34*2</f>
        <v>147688</v>
      </c>
      <c r="E15" s="89">
        <f>'MONTHLY STATS'!$C$44*2</f>
        <v>892276</v>
      </c>
      <c r="F15" s="89">
        <f>'MONTHLY STATS'!$C$54*2</f>
        <v>627970</v>
      </c>
      <c r="G15" s="89">
        <f>'MONTHLY STATS'!$C$64*2</f>
        <v>318608</v>
      </c>
      <c r="H15" s="89">
        <f>'MONTHLY STATS'!$C$74*2</f>
        <v>396262</v>
      </c>
      <c r="I15" s="89">
        <f>'MONTHLY STATS'!$C$84*2</f>
        <v>647966</v>
      </c>
      <c r="J15" s="89">
        <f>'MONTHLY STATS'!$C$94*2</f>
        <v>889420</v>
      </c>
      <c r="K15" s="89">
        <f>'MONTHLY STATS'!$C$104*2</f>
        <v>988376</v>
      </c>
      <c r="L15" s="89">
        <f>'MONTHLY STATS'!$C$114*2</f>
        <v>162366</v>
      </c>
      <c r="M15" s="89">
        <f>'MONTHLY STATS'!$C$124*2</f>
        <v>1029018</v>
      </c>
      <c r="N15" s="89">
        <f>'MONTHLY STATS'!$C$134*2</f>
        <v>201394</v>
      </c>
      <c r="O15" s="90">
        <f t="shared" si="0"/>
        <v>7177470</v>
      </c>
      <c r="P15" s="83"/>
    </row>
    <row r="16" spans="1:16" ht="15.75">
      <c r="A16" s="88">
        <f>DATE(2016,1,1)</f>
        <v>42370</v>
      </c>
      <c r="B16" s="89">
        <f>'MONTHLY STATS'!$C$15*2</f>
        <v>584152</v>
      </c>
      <c r="C16" s="89">
        <f>'MONTHLY STATS'!$C$25*2</f>
        <v>292734</v>
      </c>
      <c r="D16" s="89">
        <f>'MONTHLY STATS'!$C$35*2</f>
        <v>132752</v>
      </c>
      <c r="E16" s="89">
        <f>'MONTHLY STATS'!$C$45*2</f>
        <v>907762</v>
      </c>
      <c r="F16" s="89">
        <f>'MONTHLY STATS'!$C$55*2</f>
        <v>601082</v>
      </c>
      <c r="G16" s="89">
        <f>'MONTHLY STATS'!$C$65*2</f>
        <v>292894</v>
      </c>
      <c r="H16" s="89">
        <f>'MONTHLY STATS'!$C$75*2</f>
        <v>358424</v>
      </c>
      <c r="I16" s="89">
        <f>'MONTHLY STATS'!$C$85*2</f>
        <v>660388</v>
      </c>
      <c r="J16" s="89">
        <f>'MONTHLY STATS'!$C$95*2</f>
        <v>881972</v>
      </c>
      <c r="K16" s="89">
        <f>'MONTHLY STATS'!$C$105*2</f>
        <v>974576</v>
      </c>
      <c r="L16" s="89">
        <f>'MONTHLY STATS'!$C$115*2</f>
        <v>155780</v>
      </c>
      <c r="M16" s="89">
        <f>'MONTHLY STATS'!$C$125*2</f>
        <v>1006472</v>
      </c>
      <c r="N16" s="89">
        <f>'MONTHLY STATS'!$C$135*2</f>
        <v>183378</v>
      </c>
      <c r="O16" s="90">
        <f>SUM(B16:N16)</f>
        <v>7032366</v>
      </c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1" ref="B23:O23">SUM(B10:B21)</f>
        <v>3869762</v>
      </c>
      <c r="C23" s="90">
        <f t="shared" si="1"/>
        <v>2107188</v>
      </c>
      <c r="D23" s="90">
        <f t="shared" si="1"/>
        <v>1020898</v>
      </c>
      <c r="E23" s="90">
        <f t="shared" si="1"/>
        <v>6290786</v>
      </c>
      <c r="F23" s="90">
        <f t="shared" si="1"/>
        <v>4310492</v>
      </c>
      <c r="G23" s="90">
        <f>SUM(G10:G21)</f>
        <v>2166780</v>
      </c>
      <c r="H23" s="90">
        <f t="shared" si="1"/>
        <v>2743892</v>
      </c>
      <c r="I23" s="90">
        <f>SUM(I10:I21)</f>
        <v>4490540</v>
      </c>
      <c r="J23" s="90">
        <f t="shared" si="1"/>
        <v>6130950</v>
      </c>
      <c r="K23" s="90">
        <f>SUM(K10:K21)</f>
        <v>7002870</v>
      </c>
      <c r="L23" s="90">
        <f t="shared" si="1"/>
        <v>1128376</v>
      </c>
      <c r="M23" s="90">
        <f t="shared" si="1"/>
        <v>7093328</v>
      </c>
      <c r="N23" s="90">
        <f t="shared" si="1"/>
        <v>1346294</v>
      </c>
      <c r="O23" s="90">
        <f t="shared" si="1"/>
        <v>49702156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DATE(2015,7,1)</f>
        <v>42186</v>
      </c>
      <c r="B31" s="89">
        <f>'MONTHLY STATS'!$K$9*0.21</f>
        <v>2698484.3655</v>
      </c>
      <c r="C31" s="89">
        <f>'MONTHLY STATS'!$K$19*0.21</f>
        <v>1494049.2945</v>
      </c>
      <c r="D31" s="89">
        <f>'MONTHLY STATS'!$K$29*0.21</f>
        <v>660941.3054999999</v>
      </c>
      <c r="E31" s="89">
        <f>'MONTHLY STATS'!$K$39*0.21</f>
        <v>4382112.5418</v>
      </c>
      <c r="F31" s="89">
        <f>'MONTHLY STATS'!$K$49*0.21</f>
        <v>3013467.9203999997</v>
      </c>
      <c r="G31" s="89">
        <f>'MONTHLY STATS'!$K$59*0.21</f>
        <v>1111036.8738</v>
      </c>
      <c r="H31" s="89">
        <f>'MONTHLY STATS'!$K$69*0.21</f>
        <v>1456162.3335</v>
      </c>
      <c r="I31" s="89">
        <f>'MONTHLY STATS'!$K$79*0.21</f>
        <v>2323265.5068</v>
      </c>
      <c r="J31" s="89">
        <f>'MONTHLY STATS'!$K$89*0.21</f>
        <v>3583034.3030999997</v>
      </c>
      <c r="K31" s="89">
        <f>'MONTHLY STATS'!$K$99*0.21</f>
        <v>3814358.4507000004</v>
      </c>
      <c r="L31" s="89">
        <f>'MONTHLY STATS'!$K$109*0.21</f>
        <v>655394.7771</v>
      </c>
      <c r="M31" s="89">
        <f>'MONTHLY STATS'!$K$119*0.21</f>
        <v>4789102.9326</v>
      </c>
      <c r="N31" s="89">
        <f>'MONTHLY STATS'!$K$129*0.21</f>
        <v>714995.0661</v>
      </c>
      <c r="O31" s="90">
        <f aca="true" t="shared" si="2" ref="O31:O36">SUM(B31:N31)</f>
        <v>30696405.671400003</v>
      </c>
      <c r="P31" s="83"/>
    </row>
    <row r="32" spans="1:16" ht="15.75">
      <c r="A32" s="88">
        <f>DATE(2015,8,1)</f>
        <v>42217</v>
      </c>
      <c r="B32" s="89">
        <f>'MONTHLY STATS'!$K$10*0.21</f>
        <v>2509698.8826</v>
      </c>
      <c r="C32" s="89">
        <f>'MONTHLY STATS'!$K$20*0.21</f>
        <v>1437749.7308999998</v>
      </c>
      <c r="D32" s="89">
        <f>'MONTHLY STATS'!$K$30*0.21</f>
        <v>624360.5802</v>
      </c>
      <c r="E32" s="89">
        <f>'MONTHLY STATS'!$K$40*0.21</f>
        <v>4258795.6782</v>
      </c>
      <c r="F32" s="89">
        <f>'MONTHLY STATS'!$K$50*0.21</f>
        <v>2981099.9043</v>
      </c>
      <c r="G32" s="89">
        <f>'MONTHLY STATS'!$K$60*0.21</f>
        <v>1156465.9407</v>
      </c>
      <c r="H32" s="89">
        <f>'MONTHLY STATS'!$K$70*0.21</f>
        <v>1357816.3557</v>
      </c>
      <c r="I32" s="89">
        <f>'MONTHLY STATS'!$K$80*0.21</f>
        <v>2222382.7835999997</v>
      </c>
      <c r="J32" s="89">
        <f>'MONTHLY STATS'!$K$90*0.21</f>
        <v>3612277.0130999996</v>
      </c>
      <c r="K32" s="89">
        <f>'MONTHLY STATS'!$K$100*0.21</f>
        <v>4000563.3759</v>
      </c>
      <c r="L32" s="89">
        <f>'MONTHLY STATS'!$K$110*0.21</f>
        <v>638382.3831</v>
      </c>
      <c r="M32" s="89">
        <f>'MONTHLY STATS'!$K$120*0.21</f>
        <v>4596049.2585</v>
      </c>
      <c r="N32" s="89">
        <f>'MONTHLY STATS'!$K$130*0.21</f>
        <v>690901.6148999999</v>
      </c>
      <c r="O32" s="90">
        <f t="shared" si="2"/>
        <v>30086543.5017</v>
      </c>
      <c r="P32" s="83"/>
    </row>
    <row r="33" spans="1:16" ht="15.75">
      <c r="A33" s="88">
        <f>DATE(2015,9,1)</f>
        <v>42248</v>
      </c>
      <c r="B33" s="89">
        <f>'MONTHLY STATS'!$K$11*0.21</f>
        <v>2470002.192</v>
      </c>
      <c r="C33" s="89">
        <f>'MONTHLY STATS'!$K$21*0.21</f>
        <v>1348264.6422000001</v>
      </c>
      <c r="D33" s="89">
        <f>'MONTHLY STATS'!$K$31*0.21</f>
        <v>618973.7063999999</v>
      </c>
      <c r="E33" s="89">
        <f>'MONTHLY STATS'!$K$41*0.21</f>
        <v>3730668.6647999994</v>
      </c>
      <c r="F33" s="89">
        <f>'MONTHLY STATS'!$K$51*0.21</f>
        <v>2728657.3587</v>
      </c>
      <c r="G33" s="89">
        <f>'MONTHLY STATS'!$K$61*0.21</f>
        <v>1059216.7698</v>
      </c>
      <c r="H33" s="89">
        <f>'MONTHLY STATS'!$K$71*0.21</f>
        <v>1236178.3916999998</v>
      </c>
      <c r="I33" s="89">
        <f>'MONTHLY STATS'!$K$81*0.21</f>
        <v>2464106.1920999996</v>
      </c>
      <c r="J33" s="89">
        <f>'MONTHLY STATS'!$K$91*0.21</f>
        <v>3374756.7567</v>
      </c>
      <c r="K33" s="89">
        <f>'MONTHLY STATS'!$K$101*0.21</f>
        <v>3613346.7657000003</v>
      </c>
      <c r="L33" s="89">
        <f>'MONTHLY STATS'!$K$111*0.21</f>
        <v>621447.876</v>
      </c>
      <c r="M33" s="89">
        <f>'MONTHLY STATS'!$K$121*0.21</f>
        <v>4372654.2006</v>
      </c>
      <c r="N33" s="89">
        <f>'MONTHLY STATS'!$K$131*0.21</f>
        <v>656773.8282</v>
      </c>
      <c r="O33" s="90">
        <f t="shared" si="2"/>
        <v>28295047.3449</v>
      </c>
      <c r="P33" s="83"/>
    </row>
    <row r="34" spans="1:16" ht="15.75">
      <c r="A34" s="88">
        <f>DATE(2015,10,1)</f>
        <v>42278</v>
      </c>
      <c r="B34" s="89">
        <f>'MONTHLY STATS'!$K$12*0.21</f>
        <v>2599586.3586</v>
      </c>
      <c r="C34" s="89">
        <f>'MONTHLY STATS'!$K$22*0.21</f>
        <v>1391446.0916999998</v>
      </c>
      <c r="D34" s="89">
        <f>'MONTHLY STATS'!$K$32*0.21</f>
        <v>649698.4221</v>
      </c>
      <c r="E34" s="89">
        <f>'MONTHLY STATS'!$K$42*0.21</f>
        <v>3923698.1847</v>
      </c>
      <c r="F34" s="89">
        <f>'MONTHLY STATS'!$K$52*0.21</f>
        <v>3428679.6621</v>
      </c>
      <c r="G34" s="89">
        <f>'MONTHLY STATS'!$K$62*0.21</f>
        <v>1133573.7693</v>
      </c>
      <c r="H34" s="89">
        <f>'MONTHLY STATS'!$K$72*0.21</f>
        <v>1272812.73</v>
      </c>
      <c r="I34" s="89">
        <f>'MONTHLY STATS'!$K$82*0.21</f>
        <v>2529500.4063</v>
      </c>
      <c r="J34" s="89">
        <f>'MONTHLY STATS'!$K$92*0.21</f>
        <v>3348505.9313999997</v>
      </c>
      <c r="K34" s="89">
        <f>'MONTHLY STATS'!$K$102*0.21</f>
        <v>4117505.8449</v>
      </c>
      <c r="L34" s="89">
        <f>'MONTHLY STATS'!$K$112*0.21</f>
        <v>648017.7731999999</v>
      </c>
      <c r="M34" s="89">
        <f>'MONTHLY STATS'!$K$122*0.21</f>
        <v>4648615.5638999995</v>
      </c>
      <c r="N34" s="89">
        <f>'MONTHLY STATS'!$K$132*0.21</f>
        <v>674794.9047</v>
      </c>
      <c r="O34" s="90">
        <f t="shared" si="2"/>
        <v>30366435.6429</v>
      </c>
      <c r="P34" s="83"/>
    </row>
    <row r="35" spans="1:16" ht="15.75">
      <c r="A35" s="88">
        <f>DATE(2015,11,1)</f>
        <v>42309</v>
      </c>
      <c r="B35" s="89">
        <f>'MONTHLY STATS'!$K$13*0.21</f>
        <v>2416082.8839</v>
      </c>
      <c r="C35" s="89">
        <f>'MONTHLY STATS'!$K$23*0.21</f>
        <v>1336966.1802</v>
      </c>
      <c r="D35" s="89">
        <f>'MONTHLY STATS'!$K$33*0.21</f>
        <v>584879.9439</v>
      </c>
      <c r="E35" s="89">
        <f>'MONTHLY STATS'!$K$43*0.21</f>
        <v>3740511.1988999997</v>
      </c>
      <c r="F35" s="89">
        <f>'MONTHLY STATS'!$K$53*0.21</f>
        <v>2716013.5653</v>
      </c>
      <c r="G35" s="89">
        <f>'MONTHLY STATS'!$K$63*0.21</f>
        <v>1023649.1664</v>
      </c>
      <c r="H35" s="89">
        <f>'MONTHLY STATS'!$K$73*0.21</f>
        <v>1272961.9119</v>
      </c>
      <c r="I35" s="89">
        <f>'MONTHLY STATS'!$K$83*0.21</f>
        <v>2286421.6704</v>
      </c>
      <c r="J35" s="89">
        <f>'MONTHLY STATS'!$K$93*0.21</f>
        <v>3247605.4212</v>
      </c>
      <c r="K35" s="89">
        <f>'MONTHLY STATS'!$K$103*0.21</f>
        <v>3844893.2088</v>
      </c>
      <c r="L35" s="89">
        <f>'MONTHLY STATS'!$K$113*0.21</f>
        <v>617394.4476</v>
      </c>
      <c r="M35" s="89">
        <f>'MONTHLY STATS'!$K$123*0.21</f>
        <v>4499080.3683</v>
      </c>
      <c r="N35" s="89">
        <f>'MONTHLY STATS'!$K$133*0.21</f>
        <v>620105.0625</v>
      </c>
      <c r="O35" s="90">
        <f t="shared" si="2"/>
        <v>28206565.029299997</v>
      </c>
      <c r="P35" s="83"/>
    </row>
    <row r="36" spans="1:16" ht="15.75">
      <c r="A36" s="88">
        <f>DATE(2015,12,1)</f>
        <v>42339</v>
      </c>
      <c r="B36" s="89">
        <f>'MONTHLY STATS'!$K$14*0.21</f>
        <v>2697501.7712999997</v>
      </c>
      <c r="C36" s="89">
        <f>'MONTHLY STATS'!$K$24*0.21</f>
        <v>1404291.693</v>
      </c>
      <c r="D36" s="89">
        <f>'MONTHLY STATS'!$K$34*0.21</f>
        <v>636453.8376</v>
      </c>
      <c r="E36" s="89">
        <f>'MONTHLY STATS'!$K$44*0.21</f>
        <v>3838061.6378999995</v>
      </c>
      <c r="F36" s="89">
        <f>'MONTHLY STATS'!$K$54*0.21</f>
        <v>3201129.5715</v>
      </c>
      <c r="G36" s="89">
        <f>'MONTHLY STATS'!$K$64*0.21</f>
        <v>1171148.6094</v>
      </c>
      <c r="H36" s="89">
        <f>'MONTHLY STATS'!$K$74*0.21</f>
        <v>1361395.4340000001</v>
      </c>
      <c r="I36" s="89">
        <f>'MONTHLY STATS'!$K$84*0.21</f>
        <v>2406234.4971</v>
      </c>
      <c r="J36" s="89">
        <f>'MONTHLY STATS'!$K$94*0.21</f>
        <v>3511223.7594</v>
      </c>
      <c r="K36" s="89">
        <f>'MONTHLY STATS'!$K$104*0.21</f>
        <v>3808843.311</v>
      </c>
      <c r="L36" s="89">
        <f>'MONTHLY STATS'!$K$114*0.21</f>
        <v>644936.1366</v>
      </c>
      <c r="M36" s="89">
        <f>'MONTHLY STATS'!$K$124*0.21</f>
        <v>4542120.6263999995</v>
      </c>
      <c r="N36" s="89">
        <f>'MONTHLY STATS'!$K$134*0.21</f>
        <v>686251.1376</v>
      </c>
      <c r="O36" s="90">
        <f t="shared" si="2"/>
        <v>29909592.022799995</v>
      </c>
      <c r="P36" s="83"/>
    </row>
    <row r="37" spans="1:16" ht="15.75">
      <c r="A37" s="88">
        <f>DATE(2016,1,1)</f>
        <v>42370</v>
      </c>
      <c r="B37" s="89">
        <f>'MONTHLY STATS'!$K$15*0.21</f>
        <v>2636720.9924999997</v>
      </c>
      <c r="C37" s="89">
        <f>'MONTHLY STATS'!$K$25*0.21</f>
        <v>1372364.2065</v>
      </c>
      <c r="D37" s="89">
        <f>'MONTHLY STATS'!$K$35*0.21</f>
        <v>569525.3529</v>
      </c>
      <c r="E37" s="89">
        <f>'MONTHLY STATS'!$K$45*0.21</f>
        <v>3909934.1378999995</v>
      </c>
      <c r="F37" s="89">
        <f>'MONTHLY STATS'!$K$55*0.21</f>
        <v>2945427.0699</v>
      </c>
      <c r="G37" s="89">
        <f>'MONTHLY STATS'!$K$65*0.21</f>
        <v>1059980.9178</v>
      </c>
      <c r="H37" s="89">
        <f>'MONTHLY STATS'!$K$75*0.21</f>
        <v>1267469.1624</v>
      </c>
      <c r="I37" s="89">
        <f>'MONTHLY STATS'!$K$85*0.21</f>
        <v>2323502.2755</v>
      </c>
      <c r="J37" s="89">
        <f>'MONTHLY STATS'!$K$95*0.21</f>
        <v>3349012.7412</v>
      </c>
      <c r="K37" s="89">
        <f>'MONTHLY STATS'!$K$105*0.21</f>
        <v>3833064.9</v>
      </c>
      <c r="L37" s="89">
        <f>'MONTHLY STATS'!$K$115*0.21</f>
        <v>616704.1797</v>
      </c>
      <c r="M37" s="89">
        <f>'MONTHLY STATS'!$K$125*0.21</f>
        <v>4578156.24</v>
      </c>
      <c r="N37" s="89">
        <f>'MONTHLY STATS'!$K$135*0.21</f>
        <v>678838.9902</v>
      </c>
      <c r="O37" s="90">
        <f>SUM(B37:N37)</f>
        <v>29140701.1665</v>
      </c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3" ref="B44:O44">SUM(B31:B42)</f>
        <v>18028077.446399998</v>
      </c>
      <c r="C44" s="90">
        <f t="shared" si="3"/>
        <v>9785131.839</v>
      </c>
      <c r="D44" s="90">
        <f t="shared" si="3"/>
        <v>4344833.1486</v>
      </c>
      <c r="E44" s="90">
        <f t="shared" si="3"/>
        <v>27783782.044199996</v>
      </c>
      <c r="F44" s="90">
        <f t="shared" si="3"/>
        <v>21014475.052199997</v>
      </c>
      <c r="G44" s="90">
        <f t="shared" si="3"/>
        <v>7715072.0472</v>
      </c>
      <c r="H44" s="90">
        <f t="shared" si="3"/>
        <v>9224796.3192</v>
      </c>
      <c r="I44" s="90">
        <f>SUM(I31:I42)</f>
        <v>16555413.331799999</v>
      </c>
      <c r="J44" s="90">
        <f t="shared" si="3"/>
        <v>24026415.926099997</v>
      </c>
      <c r="K44" s="90">
        <f>SUM(K31:K42)</f>
        <v>27032575.857</v>
      </c>
      <c r="L44" s="90">
        <f t="shared" si="3"/>
        <v>4442277.573299999</v>
      </c>
      <c r="M44" s="90">
        <f t="shared" si="3"/>
        <v>32025779.190300003</v>
      </c>
      <c r="N44" s="90">
        <f t="shared" si="3"/>
        <v>4722660.6042</v>
      </c>
      <c r="O44" s="90">
        <f t="shared" si="3"/>
        <v>206701290.3795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9" ht="15.75">
      <c r="A47" s="115" t="s">
        <v>31</v>
      </c>
      <c r="B47" s="98"/>
      <c r="C47" s="98"/>
      <c r="D47" s="98"/>
      <c r="E47" s="98"/>
      <c r="F47" s="98"/>
      <c r="G47" s="98"/>
      <c r="H47" s="98"/>
      <c r="I47" s="98"/>
    </row>
    <row r="48" spans="1:9" ht="15.75">
      <c r="A48" s="115"/>
      <c r="B48" s="98"/>
      <c r="C48" s="98"/>
      <c r="D48" s="98"/>
      <c r="E48" s="98"/>
      <c r="F48" s="98"/>
      <c r="G48" s="98"/>
      <c r="H48" s="98"/>
      <c r="I48" s="98"/>
    </row>
    <row r="49" ht="15.75">
      <c r="A49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showOutlineSymbols="0" zoomScalePageLayoutView="0" workbookViewId="0" topLeftCell="A1">
      <selection activeCell="A3" sqref="A3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DATE(2015,7,1)</f>
        <v>42186</v>
      </c>
      <c r="C9" s="204">
        <v>5697664</v>
      </c>
      <c r="D9" s="204">
        <v>1228220.3</v>
      </c>
      <c r="E9" s="204">
        <v>885313</v>
      </c>
      <c r="F9" s="132">
        <f aca="true" t="shared" si="0" ref="F9:F15">(+D9-E9)/E9</f>
        <v>0.38732888820112216</v>
      </c>
      <c r="G9" s="215">
        <f aca="true" t="shared" si="1" ref="G9:G15">D9/C9</f>
        <v>0.21556558968728237</v>
      </c>
      <c r="H9" s="123"/>
    </row>
    <row r="10" spans="1:8" ht="15.75">
      <c r="A10" s="130"/>
      <c r="B10" s="131">
        <f>DATE(2015,8,1)</f>
        <v>42217</v>
      </c>
      <c r="C10" s="204">
        <v>6299080</v>
      </c>
      <c r="D10" s="204">
        <v>1133774.21</v>
      </c>
      <c r="E10" s="204">
        <v>1087040.34</v>
      </c>
      <c r="F10" s="132">
        <f t="shared" si="0"/>
        <v>0.042991845178441006</v>
      </c>
      <c r="G10" s="215">
        <f t="shared" si="1"/>
        <v>0.17999044463635958</v>
      </c>
      <c r="H10" s="123"/>
    </row>
    <row r="11" spans="1:8" ht="15.75">
      <c r="A11" s="130"/>
      <c r="B11" s="131">
        <f>DATE(2015,9,1)</f>
        <v>42248</v>
      </c>
      <c r="C11" s="204">
        <v>5730289</v>
      </c>
      <c r="D11" s="204">
        <v>1129285.5</v>
      </c>
      <c r="E11" s="204">
        <v>1089948.23</v>
      </c>
      <c r="F11" s="132">
        <f t="shared" si="0"/>
        <v>0.036090952686807905</v>
      </c>
      <c r="G11" s="215">
        <f t="shared" si="1"/>
        <v>0.19707304465795705</v>
      </c>
      <c r="H11" s="123"/>
    </row>
    <row r="12" spans="1:8" ht="15.75">
      <c r="A12" s="130"/>
      <c r="B12" s="131">
        <f>DATE(2015,10,1)</f>
        <v>42278</v>
      </c>
      <c r="C12" s="204">
        <v>5565735</v>
      </c>
      <c r="D12" s="204">
        <v>1252386.01</v>
      </c>
      <c r="E12" s="204">
        <v>1026326.55</v>
      </c>
      <c r="F12" s="132">
        <f t="shared" si="0"/>
        <v>0.220260754240451</v>
      </c>
      <c r="G12" s="215">
        <f t="shared" si="1"/>
        <v>0.2250171828159264</v>
      </c>
      <c r="H12" s="123"/>
    </row>
    <row r="13" spans="1:8" ht="15.75">
      <c r="A13" s="130"/>
      <c r="B13" s="131">
        <f>DATE(2015,11,1)</f>
        <v>42309</v>
      </c>
      <c r="C13" s="204">
        <v>5487036</v>
      </c>
      <c r="D13" s="204">
        <v>1206558.56</v>
      </c>
      <c r="E13" s="204">
        <v>833113.97</v>
      </c>
      <c r="F13" s="132">
        <f t="shared" si="0"/>
        <v>0.4482515039328894</v>
      </c>
      <c r="G13" s="215">
        <f t="shared" si="1"/>
        <v>0.21989259046231882</v>
      </c>
      <c r="H13" s="123"/>
    </row>
    <row r="14" spans="1:8" ht="15.75">
      <c r="A14" s="130"/>
      <c r="B14" s="131">
        <f>DATE(2015,12,1)</f>
        <v>42339</v>
      </c>
      <c r="C14" s="204">
        <v>6034466</v>
      </c>
      <c r="D14" s="204">
        <v>1200839</v>
      </c>
      <c r="E14" s="204">
        <v>957272.26</v>
      </c>
      <c r="F14" s="132">
        <f t="shared" si="0"/>
        <v>0.25443831413228246</v>
      </c>
      <c r="G14" s="215">
        <f t="shared" si="1"/>
        <v>0.19899672978520386</v>
      </c>
      <c r="H14" s="123"/>
    </row>
    <row r="15" spans="1:8" ht="15.75">
      <c r="A15" s="130"/>
      <c r="B15" s="131">
        <f>DATE(2016,1,1)</f>
        <v>42370</v>
      </c>
      <c r="C15" s="204">
        <v>6257241</v>
      </c>
      <c r="D15" s="204">
        <v>1272012.36</v>
      </c>
      <c r="E15" s="204">
        <v>1155524.87</v>
      </c>
      <c r="F15" s="132">
        <f t="shared" si="0"/>
        <v>0.10080915869859208</v>
      </c>
      <c r="G15" s="215">
        <f t="shared" si="1"/>
        <v>0.20328645804117185</v>
      </c>
      <c r="H15" s="123"/>
    </row>
    <row r="16" spans="1:8" ht="15.75" thickBot="1">
      <c r="A16" s="133"/>
      <c r="B16" s="134"/>
      <c r="C16" s="204"/>
      <c r="D16" s="204"/>
      <c r="E16" s="204"/>
      <c r="F16" s="132"/>
      <c r="G16" s="215"/>
      <c r="H16" s="123"/>
    </row>
    <row r="17" spans="1:8" ht="17.25" thickBot="1" thickTop="1">
      <c r="A17" s="135" t="s">
        <v>14</v>
      </c>
      <c r="B17" s="136"/>
      <c r="C17" s="201">
        <f>SUM(C9:C16)</f>
        <v>41071511</v>
      </c>
      <c r="D17" s="201">
        <f>SUM(D9:D16)</f>
        <v>8423075.94</v>
      </c>
      <c r="E17" s="201">
        <f>SUM(E9:E16)</f>
        <v>7034539.22</v>
      </c>
      <c r="F17" s="137">
        <f>(+D17-E17)/E17</f>
        <v>0.19738843960841543</v>
      </c>
      <c r="G17" s="212">
        <f>D17/C17</f>
        <v>0.2050831765113292</v>
      </c>
      <c r="H17" s="123"/>
    </row>
    <row r="18" spans="1:8" ht="15.75" customHeight="1" thickTop="1">
      <c r="A18" s="138"/>
      <c r="B18" s="139"/>
      <c r="C18" s="205"/>
      <c r="D18" s="205"/>
      <c r="E18" s="205"/>
      <c r="F18" s="140"/>
      <c r="G18" s="216"/>
      <c r="H18" s="123"/>
    </row>
    <row r="19" spans="1:8" ht="15.75">
      <c r="A19" s="19" t="s">
        <v>15</v>
      </c>
      <c r="B19" s="131">
        <f>DATE(2015,7,1)</f>
        <v>42186</v>
      </c>
      <c r="C19" s="204">
        <v>2478172</v>
      </c>
      <c r="D19" s="204">
        <v>519910.5</v>
      </c>
      <c r="E19" s="204">
        <v>648014.25</v>
      </c>
      <c r="F19" s="132">
        <f aca="true" t="shared" si="2" ref="F19:F25">(+D19-E19)/E19</f>
        <v>-0.19768662494690512</v>
      </c>
      <c r="G19" s="215">
        <f aca="true" t="shared" si="3" ref="G19:G25">D19/C19</f>
        <v>0.20979597057831337</v>
      </c>
      <c r="H19" s="123"/>
    </row>
    <row r="20" spans="1:8" ht="15.75">
      <c r="A20" s="19"/>
      <c r="B20" s="131">
        <f>DATE(2015,8,1)</f>
        <v>42217</v>
      </c>
      <c r="C20" s="204">
        <v>2725066</v>
      </c>
      <c r="D20" s="204">
        <v>415029.5</v>
      </c>
      <c r="E20" s="204">
        <v>536234.5</v>
      </c>
      <c r="F20" s="132">
        <f t="shared" si="2"/>
        <v>-0.22602984328684558</v>
      </c>
      <c r="G20" s="215">
        <f t="shared" si="3"/>
        <v>0.15230071491846436</v>
      </c>
      <c r="H20" s="123"/>
    </row>
    <row r="21" spans="1:8" ht="15.75">
      <c r="A21" s="19"/>
      <c r="B21" s="131">
        <f>DATE(2015,9,1)</f>
        <v>42248</v>
      </c>
      <c r="C21" s="204">
        <v>2471872.5</v>
      </c>
      <c r="D21" s="204">
        <v>537265</v>
      </c>
      <c r="E21" s="204">
        <v>586348.01</v>
      </c>
      <c r="F21" s="132">
        <f t="shared" si="2"/>
        <v>-0.08370968974551479</v>
      </c>
      <c r="G21" s="215">
        <f t="shared" si="3"/>
        <v>0.21735142083582384</v>
      </c>
      <c r="H21" s="123"/>
    </row>
    <row r="22" spans="1:8" ht="15.75">
      <c r="A22" s="19"/>
      <c r="B22" s="131">
        <f>DATE(2015,10,1)</f>
        <v>42278</v>
      </c>
      <c r="C22" s="204">
        <v>2669401</v>
      </c>
      <c r="D22" s="204">
        <v>434631.5</v>
      </c>
      <c r="E22" s="204">
        <v>579096</v>
      </c>
      <c r="F22" s="132">
        <f t="shared" si="2"/>
        <v>-0.24946554629974996</v>
      </c>
      <c r="G22" s="215">
        <f t="shared" si="3"/>
        <v>0.16281986108494004</v>
      </c>
      <c r="H22" s="123"/>
    </row>
    <row r="23" spans="1:8" ht="15.75">
      <c r="A23" s="19"/>
      <c r="B23" s="131">
        <f>DATE(2015,11,1)</f>
        <v>42309</v>
      </c>
      <c r="C23" s="204">
        <v>2660520</v>
      </c>
      <c r="D23" s="204">
        <v>548707.5</v>
      </c>
      <c r="E23" s="204">
        <v>520588</v>
      </c>
      <c r="F23" s="132">
        <f t="shared" si="2"/>
        <v>0.05401488317056866</v>
      </c>
      <c r="G23" s="215">
        <f t="shared" si="3"/>
        <v>0.2062406973072933</v>
      </c>
      <c r="H23" s="123"/>
    </row>
    <row r="24" spans="1:8" ht="15.75">
      <c r="A24" s="19"/>
      <c r="B24" s="131">
        <f>DATE(2015,12,1)</f>
        <v>42339</v>
      </c>
      <c r="C24" s="204">
        <v>2603344</v>
      </c>
      <c r="D24" s="204">
        <v>598326.5</v>
      </c>
      <c r="E24" s="204">
        <v>544994.5</v>
      </c>
      <c r="F24" s="132">
        <f t="shared" si="2"/>
        <v>0.09785786829041394</v>
      </c>
      <c r="G24" s="215">
        <f t="shared" si="3"/>
        <v>0.22982998021006829</v>
      </c>
      <c r="H24" s="123"/>
    </row>
    <row r="25" spans="1:8" ht="15.75">
      <c r="A25" s="19"/>
      <c r="B25" s="131">
        <f>DATE(2016,1,1)</f>
        <v>42370</v>
      </c>
      <c r="C25" s="204">
        <v>2545123</v>
      </c>
      <c r="D25" s="204">
        <v>496164</v>
      </c>
      <c r="E25" s="204">
        <v>499607</v>
      </c>
      <c r="F25" s="132">
        <f t="shared" si="2"/>
        <v>-0.006891416653489643</v>
      </c>
      <c r="G25" s="215">
        <f t="shared" si="3"/>
        <v>0.19494696327053743</v>
      </c>
      <c r="H25" s="123"/>
    </row>
    <row r="26" spans="1:8" ht="15.75" thickBot="1">
      <c r="A26" s="133"/>
      <c r="B26" s="131"/>
      <c r="C26" s="204"/>
      <c r="D26" s="204"/>
      <c r="E26" s="204"/>
      <c r="F26" s="132"/>
      <c r="G26" s="215"/>
      <c r="H26" s="123"/>
    </row>
    <row r="27" spans="1:8" ht="17.25" thickBot="1" thickTop="1">
      <c r="A27" s="135" t="s">
        <v>14</v>
      </c>
      <c r="B27" s="136"/>
      <c r="C27" s="201">
        <f>SUM(C19:C26)</f>
        <v>18153498.5</v>
      </c>
      <c r="D27" s="201">
        <f>SUM(D19:D26)</f>
        <v>3550034.5</v>
      </c>
      <c r="E27" s="201">
        <f>SUM(E19:E26)</f>
        <v>3914882.26</v>
      </c>
      <c r="F27" s="137">
        <f>(+D27-E27)/E27</f>
        <v>-0.0931950786177666</v>
      </c>
      <c r="G27" s="212">
        <f>D27/C27</f>
        <v>0.19555649287105734</v>
      </c>
      <c r="H27" s="123"/>
    </row>
    <row r="28" spans="1:8" ht="15.75" customHeight="1" thickTop="1">
      <c r="A28" s="255"/>
      <c r="B28" s="139"/>
      <c r="C28" s="205"/>
      <c r="D28" s="205"/>
      <c r="E28" s="205"/>
      <c r="F28" s="140"/>
      <c r="G28" s="219"/>
      <c r="H28" s="123"/>
    </row>
    <row r="29" spans="1:8" ht="15.75">
      <c r="A29" s="19" t="s">
        <v>56</v>
      </c>
      <c r="B29" s="131">
        <f>DATE(2015,7,1)</f>
        <v>42186</v>
      </c>
      <c r="C29" s="204">
        <v>1336768</v>
      </c>
      <c r="D29" s="204">
        <v>301036</v>
      </c>
      <c r="E29" s="204">
        <v>269057.5</v>
      </c>
      <c r="F29" s="132">
        <f aca="true" t="shared" si="4" ref="F29:F35">(+D29-E29)/E29</f>
        <v>0.11885377660908913</v>
      </c>
      <c r="G29" s="215">
        <f aca="true" t="shared" si="5" ref="G29:G35">D29/C29</f>
        <v>0.22519689280413654</v>
      </c>
      <c r="H29" s="123"/>
    </row>
    <row r="30" spans="1:8" ht="15.75">
      <c r="A30" s="19"/>
      <c r="B30" s="131">
        <f>DATE(2015,8,1)</f>
        <v>42217</v>
      </c>
      <c r="C30" s="204">
        <v>1267637</v>
      </c>
      <c r="D30" s="204">
        <v>259067</v>
      </c>
      <c r="E30" s="204">
        <v>293428.5</v>
      </c>
      <c r="F30" s="132">
        <f t="shared" si="4"/>
        <v>-0.11710348517611616</v>
      </c>
      <c r="G30" s="215">
        <f t="shared" si="5"/>
        <v>0.2043700207551531</v>
      </c>
      <c r="H30" s="123"/>
    </row>
    <row r="31" spans="1:8" ht="15.75">
      <c r="A31" s="19"/>
      <c r="B31" s="131">
        <f>DATE(2015,9,1)</f>
        <v>42248</v>
      </c>
      <c r="C31" s="204">
        <v>1318819</v>
      </c>
      <c r="D31" s="204">
        <v>252068</v>
      </c>
      <c r="E31" s="204">
        <v>281304</v>
      </c>
      <c r="F31" s="132">
        <f t="shared" si="4"/>
        <v>-0.10393026761084094</v>
      </c>
      <c r="G31" s="215">
        <f t="shared" si="5"/>
        <v>0.19113161093372177</v>
      </c>
      <c r="H31" s="123"/>
    </row>
    <row r="32" spans="1:8" ht="15.75">
      <c r="A32" s="19"/>
      <c r="B32" s="131">
        <f>DATE(2015,10,1)</f>
        <v>42278</v>
      </c>
      <c r="C32" s="204">
        <v>1241076</v>
      </c>
      <c r="D32" s="204">
        <v>326686.5</v>
      </c>
      <c r="E32" s="204">
        <v>223101</v>
      </c>
      <c r="F32" s="132">
        <f t="shared" si="4"/>
        <v>0.4642986808665134</v>
      </c>
      <c r="G32" s="215">
        <f t="shared" si="5"/>
        <v>0.26322844048229116</v>
      </c>
      <c r="H32" s="123"/>
    </row>
    <row r="33" spans="1:8" ht="15.75">
      <c r="A33" s="19"/>
      <c r="B33" s="131">
        <f>DATE(2015,11,1)</f>
        <v>42309</v>
      </c>
      <c r="C33" s="204">
        <v>1173793</v>
      </c>
      <c r="D33" s="204">
        <v>266876.5</v>
      </c>
      <c r="E33" s="204">
        <v>243735</v>
      </c>
      <c r="F33" s="132">
        <f t="shared" si="4"/>
        <v>0.09494532996902373</v>
      </c>
      <c r="G33" s="215">
        <f t="shared" si="5"/>
        <v>0.22736249066061903</v>
      </c>
      <c r="H33" s="123"/>
    </row>
    <row r="34" spans="1:8" ht="15.75">
      <c r="A34" s="19"/>
      <c r="B34" s="131">
        <f>DATE(2015,12,1)</f>
        <v>42339</v>
      </c>
      <c r="C34" s="204">
        <v>1319749</v>
      </c>
      <c r="D34" s="204">
        <v>336449.5</v>
      </c>
      <c r="E34" s="204">
        <v>287131.5</v>
      </c>
      <c r="F34" s="132">
        <f t="shared" si="4"/>
        <v>0.17176102238869648</v>
      </c>
      <c r="G34" s="215">
        <f t="shared" si="5"/>
        <v>0.2549344610225126</v>
      </c>
      <c r="H34" s="123"/>
    </row>
    <row r="35" spans="1:8" ht="15.75">
      <c r="A35" s="19"/>
      <c r="B35" s="131">
        <f>DATE(2016,1,1)</f>
        <v>42370</v>
      </c>
      <c r="C35" s="204">
        <v>1239902</v>
      </c>
      <c r="D35" s="204">
        <v>279744.5</v>
      </c>
      <c r="E35" s="204">
        <v>278030</v>
      </c>
      <c r="F35" s="132">
        <f t="shared" si="4"/>
        <v>0.006166600726540301</v>
      </c>
      <c r="G35" s="215">
        <f t="shared" si="5"/>
        <v>0.2256182343443272</v>
      </c>
      <c r="H35" s="123"/>
    </row>
    <row r="36" spans="1:8" ht="15.75" thickBot="1">
      <c r="A36" s="133"/>
      <c r="B36" s="131"/>
      <c r="C36" s="204"/>
      <c r="D36" s="204"/>
      <c r="E36" s="204"/>
      <c r="F36" s="132"/>
      <c r="G36" s="215"/>
      <c r="H36" s="123"/>
    </row>
    <row r="37" spans="1:8" ht="17.25" thickBot="1" thickTop="1">
      <c r="A37" s="141" t="s">
        <v>14</v>
      </c>
      <c r="B37" s="142"/>
      <c r="C37" s="206">
        <f>SUM(C29:C36)</f>
        <v>8897744</v>
      </c>
      <c r="D37" s="206">
        <f>SUM(D29:D36)</f>
        <v>2021928</v>
      </c>
      <c r="E37" s="206">
        <f>SUM(E29:E36)</f>
        <v>1875787.5</v>
      </c>
      <c r="F37" s="143">
        <f>(+D37-E37)/E37</f>
        <v>0.07790887827112612</v>
      </c>
      <c r="G37" s="217">
        <f>D37/C37</f>
        <v>0.22724052299099637</v>
      </c>
      <c r="H37" s="123"/>
    </row>
    <row r="38" spans="1:8" ht="15.75" thickTop="1">
      <c r="A38" s="133"/>
      <c r="B38" s="134"/>
      <c r="C38" s="204"/>
      <c r="D38" s="204"/>
      <c r="E38" s="204"/>
      <c r="F38" s="132"/>
      <c r="G38" s="218"/>
      <c r="H38" s="123"/>
    </row>
    <row r="39" spans="1:8" ht="15.75">
      <c r="A39" s="177" t="s">
        <v>65</v>
      </c>
      <c r="B39" s="131">
        <f>DATE(2015,7,1)</f>
        <v>42186</v>
      </c>
      <c r="C39" s="204">
        <v>14132212</v>
      </c>
      <c r="D39" s="204">
        <v>2897555.15</v>
      </c>
      <c r="E39" s="204">
        <v>2863106.21</v>
      </c>
      <c r="F39" s="132">
        <f aca="true" t="shared" si="6" ref="F39:F45">(+D39-E39)/E39</f>
        <v>0.012032016094855226</v>
      </c>
      <c r="G39" s="215">
        <f aca="true" t="shared" si="7" ref="G39:G45">D39/C39</f>
        <v>0.2050319617339451</v>
      </c>
      <c r="H39" s="123"/>
    </row>
    <row r="40" spans="1:8" ht="15.75">
      <c r="A40" s="177"/>
      <c r="B40" s="131">
        <f>DATE(2015,8,1)</f>
        <v>42217</v>
      </c>
      <c r="C40" s="204">
        <v>13874808</v>
      </c>
      <c r="D40" s="204">
        <v>3306098.47</v>
      </c>
      <c r="E40" s="204">
        <v>1916626.25</v>
      </c>
      <c r="F40" s="132">
        <f t="shared" si="6"/>
        <v>0.7249573149694679</v>
      </c>
      <c r="G40" s="215">
        <f t="shared" si="7"/>
        <v>0.23828066449640242</v>
      </c>
      <c r="H40" s="123"/>
    </row>
    <row r="41" spans="1:8" ht="15.75">
      <c r="A41" s="177"/>
      <c r="B41" s="131">
        <f>DATE(2015,9,1)</f>
        <v>42248</v>
      </c>
      <c r="C41" s="204">
        <v>13295493.05</v>
      </c>
      <c r="D41" s="204">
        <v>2474055.15</v>
      </c>
      <c r="E41" s="204">
        <v>1773873.21</v>
      </c>
      <c r="F41" s="132">
        <f t="shared" si="6"/>
        <v>0.39471927083221464</v>
      </c>
      <c r="G41" s="215">
        <f t="shared" si="7"/>
        <v>0.18608224160592524</v>
      </c>
      <c r="H41" s="123"/>
    </row>
    <row r="42" spans="1:8" ht="15.75">
      <c r="A42" s="177"/>
      <c r="B42" s="131">
        <f>DATE(2015,10,1)</f>
        <v>42278</v>
      </c>
      <c r="C42" s="204">
        <v>12941446</v>
      </c>
      <c r="D42" s="204">
        <v>2556172.52</v>
      </c>
      <c r="E42" s="204">
        <v>2542192.75</v>
      </c>
      <c r="F42" s="132">
        <f t="shared" si="6"/>
        <v>0.005499099153673544</v>
      </c>
      <c r="G42" s="215">
        <f t="shared" si="7"/>
        <v>0.19751830823232583</v>
      </c>
      <c r="H42" s="123"/>
    </row>
    <row r="43" spans="1:8" ht="15.75">
      <c r="A43" s="177"/>
      <c r="B43" s="131">
        <f>DATE(2015,11,1)</f>
        <v>42309</v>
      </c>
      <c r="C43" s="204">
        <v>12488505</v>
      </c>
      <c r="D43" s="204">
        <v>2606503.44</v>
      </c>
      <c r="E43" s="204">
        <v>2296283.49</v>
      </c>
      <c r="F43" s="132">
        <f t="shared" si="6"/>
        <v>0.13509653810209632</v>
      </c>
      <c r="G43" s="215">
        <f t="shared" si="7"/>
        <v>0.20871220694550707</v>
      </c>
      <c r="H43" s="123"/>
    </row>
    <row r="44" spans="1:8" ht="15.75">
      <c r="A44" s="177"/>
      <c r="B44" s="131">
        <f>DATE(2015,12,1)</f>
        <v>42339</v>
      </c>
      <c r="C44" s="204">
        <v>13142365</v>
      </c>
      <c r="D44" s="204">
        <v>2728645.94</v>
      </c>
      <c r="E44" s="204">
        <v>2110126.12</v>
      </c>
      <c r="F44" s="132">
        <f t="shared" si="6"/>
        <v>0.29311983494142985</v>
      </c>
      <c r="G44" s="215">
        <f t="shared" si="7"/>
        <v>0.20762213954642106</v>
      </c>
      <c r="H44" s="123"/>
    </row>
    <row r="45" spans="1:8" ht="15.75">
      <c r="A45" s="177"/>
      <c r="B45" s="131">
        <f>DATE(2016,1,1)</f>
        <v>42370</v>
      </c>
      <c r="C45" s="204">
        <v>12624103</v>
      </c>
      <c r="D45" s="204">
        <v>2649258.09</v>
      </c>
      <c r="E45" s="204">
        <v>2228063.78</v>
      </c>
      <c r="F45" s="132">
        <f t="shared" si="6"/>
        <v>0.18904050852619672</v>
      </c>
      <c r="G45" s="215">
        <f t="shared" si="7"/>
        <v>0.20985713519606106</v>
      </c>
      <c r="H45" s="123"/>
    </row>
    <row r="46" spans="1:8" ht="15.75" customHeight="1" thickBot="1">
      <c r="A46" s="133"/>
      <c r="B46" s="134"/>
      <c r="C46" s="204"/>
      <c r="D46" s="204"/>
      <c r="E46" s="204"/>
      <c r="F46" s="132"/>
      <c r="G46" s="215"/>
      <c r="H46" s="123"/>
    </row>
    <row r="47" spans="1:8" ht="17.25" customHeight="1" thickBot="1" thickTop="1">
      <c r="A47" s="141" t="s">
        <v>14</v>
      </c>
      <c r="B47" s="142"/>
      <c r="C47" s="206">
        <f>SUM(C39:C46)</f>
        <v>92498932.05</v>
      </c>
      <c r="D47" s="206">
        <f>SUM(D39:D46)</f>
        <v>19218288.759999998</v>
      </c>
      <c r="E47" s="206">
        <f>SUM(E39:E46)</f>
        <v>15730271.81</v>
      </c>
      <c r="F47" s="143">
        <f>(+D47-E47)/E47</f>
        <v>0.22173914043765003</v>
      </c>
      <c r="G47" s="217">
        <f>D47/C47</f>
        <v>0.20776768265401827</v>
      </c>
      <c r="H47" s="123"/>
    </row>
    <row r="48" spans="1:8" ht="15.75" customHeight="1" thickTop="1">
      <c r="A48" s="133"/>
      <c r="B48" s="134"/>
      <c r="C48" s="204"/>
      <c r="D48" s="204"/>
      <c r="E48" s="204"/>
      <c r="F48" s="132"/>
      <c r="G48" s="218"/>
      <c r="H48" s="123"/>
    </row>
    <row r="49" spans="1:8" ht="15" customHeight="1">
      <c r="A49" s="130" t="s">
        <v>39</v>
      </c>
      <c r="B49" s="131">
        <f>DATE(2015,7,1)</f>
        <v>42186</v>
      </c>
      <c r="C49" s="204">
        <v>15713660</v>
      </c>
      <c r="D49" s="204">
        <v>2761556.5</v>
      </c>
      <c r="E49" s="204">
        <v>3102423</v>
      </c>
      <c r="F49" s="132">
        <f aca="true" t="shared" si="8" ref="F49:F55">(+D49-E49)/E49</f>
        <v>-0.10987105884658539</v>
      </c>
      <c r="G49" s="215">
        <f aca="true" t="shared" si="9" ref="G49:G55">D49/C49</f>
        <v>0.17574241137965313</v>
      </c>
      <c r="H49" s="123"/>
    </row>
    <row r="50" spans="1:8" ht="15" customHeight="1">
      <c r="A50" s="130"/>
      <c r="B50" s="131">
        <f>DATE(2015,8,1)</f>
        <v>42217</v>
      </c>
      <c r="C50" s="204">
        <v>14749626</v>
      </c>
      <c r="D50" s="204">
        <v>3308298</v>
      </c>
      <c r="E50" s="204">
        <v>2663132</v>
      </c>
      <c r="F50" s="132">
        <f t="shared" si="8"/>
        <v>0.24225836346076723</v>
      </c>
      <c r="G50" s="215">
        <f t="shared" si="9"/>
        <v>0.22429707709198865</v>
      </c>
      <c r="H50" s="123"/>
    </row>
    <row r="51" spans="1:8" ht="15" customHeight="1">
      <c r="A51" s="130"/>
      <c r="B51" s="131">
        <f>DATE(2015,9,1)</f>
        <v>42248</v>
      </c>
      <c r="C51" s="204">
        <v>14704020</v>
      </c>
      <c r="D51" s="204">
        <v>2544186.5</v>
      </c>
      <c r="E51" s="204">
        <v>3098933.5</v>
      </c>
      <c r="F51" s="132">
        <f t="shared" si="8"/>
        <v>-0.17901223114339176</v>
      </c>
      <c r="G51" s="215">
        <f t="shared" si="9"/>
        <v>0.1730265940878753</v>
      </c>
      <c r="H51" s="123"/>
    </row>
    <row r="52" spans="1:8" ht="15" customHeight="1">
      <c r="A52" s="130"/>
      <c r="B52" s="131">
        <f>DATE(2015,10,1)</f>
        <v>42278</v>
      </c>
      <c r="C52" s="204">
        <v>16854785</v>
      </c>
      <c r="D52" s="204">
        <v>4526715.5</v>
      </c>
      <c r="E52" s="204">
        <v>3451515</v>
      </c>
      <c r="F52" s="132">
        <f t="shared" si="8"/>
        <v>0.31151552289356993</v>
      </c>
      <c r="G52" s="215">
        <f t="shared" si="9"/>
        <v>0.2685715362136034</v>
      </c>
      <c r="H52" s="123"/>
    </row>
    <row r="53" spans="1:8" ht="15" customHeight="1">
      <c r="A53" s="130"/>
      <c r="B53" s="131">
        <f>DATE(2015,11,1)</f>
        <v>42309</v>
      </c>
      <c r="C53" s="204">
        <v>15060807</v>
      </c>
      <c r="D53" s="204">
        <v>2850434</v>
      </c>
      <c r="E53" s="204">
        <v>3402957</v>
      </c>
      <c r="F53" s="132">
        <f t="shared" si="8"/>
        <v>-0.16236555442810474</v>
      </c>
      <c r="G53" s="215">
        <f t="shared" si="9"/>
        <v>0.1892617042366986</v>
      </c>
      <c r="H53" s="123"/>
    </row>
    <row r="54" spans="1:8" ht="15" customHeight="1">
      <c r="A54" s="130"/>
      <c r="B54" s="131">
        <f>DATE(2015,12,1)</f>
        <v>42339</v>
      </c>
      <c r="C54" s="204">
        <v>15320088</v>
      </c>
      <c r="D54" s="204">
        <v>4177129.5</v>
      </c>
      <c r="E54" s="204">
        <v>3550964.5</v>
      </c>
      <c r="F54" s="132">
        <f t="shared" si="8"/>
        <v>0.17633659812707222</v>
      </c>
      <c r="G54" s="215">
        <f t="shared" si="9"/>
        <v>0.27265701737483494</v>
      </c>
      <c r="H54" s="123"/>
    </row>
    <row r="55" spans="1:8" ht="15" customHeight="1">
      <c r="A55" s="130"/>
      <c r="B55" s="131">
        <f>DATE(2016,1,1)</f>
        <v>42370</v>
      </c>
      <c r="C55" s="204">
        <v>14025557</v>
      </c>
      <c r="D55" s="204">
        <v>3526328</v>
      </c>
      <c r="E55" s="204">
        <v>2878007.5</v>
      </c>
      <c r="F55" s="132">
        <f t="shared" si="8"/>
        <v>0.22526713359850523</v>
      </c>
      <c r="G55" s="215">
        <f t="shared" si="9"/>
        <v>0.25142160129540664</v>
      </c>
      <c r="H55" s="123"/>
    </row>
    <row r="56" spans="1:8" ht="15.75" thickBot="1">
      <c r="A56" s="133"/>
      <c r="B56" s="131"/>
      <c r="C56" s="204"/>
      <c r="D56" s="204"/>
      <c r="E56" s="204"/>
      <c r="F56" s="132"/>
      <c r="G56" s="215"/>
      <c r="H56" s="123"/>
    </row>
    <row r="57" spans="1:8" ht="17.25" customHeight="1" thickBot="1" thickTop="1">
      <c r="A57" s="141" t="s">
        <v>14</v>
      </c>
      <c r="B57" s="142"/>
      <c r="C57" s="207">
        <f>SUM(C49:C56)</f>
        <v>106428543</v>
      </c>
      <c r="D57" s="261">
        <f>SUM(D49:D56)</f>
        <v>23694648</v>
      </c>
      <c r="E57" s="206">
        <f>SUM(E49:E56)</f>
        <v>22147932.5</v>
      </c>
      <c r="F57" s="268">
        <f>(+D57-E57)/E57</f>
        <v>0.06983566073266659</v>
      </c>
      <c r="G57" s="267">
        <f>D57/C57</f>
        <v>0.22263433597883606</v>
      </c>
      <c r="H57" s="123"/>
    </row>
    <row r="58" spans="1:8" ht="15.75" customHeight="1" thickTop="1">
      <c r="A58" s="130"/>
      <c r="B58" s="134"/>
      <c r="C58" s="204"/>
      <c r="D58" s="204"/>
      <c r="E58" s="204"/>
      <c r="F58" s="132"/>
      <c r="G58" s="218"/>
      <c r="H58" s="123"/>
    </row>
    <row r="59" spans="1:8" ht="15.75">
      <c r="A59" s="130" t="s">
        <v>66</v>
      </c>
      <c r="B59" s="131">
        <f>DATE(2015,7,1)</f>
        <v>42186</v>
      </c>
      <c r="C59" s="204">
        <v>3285911</v>
      </c>
      <c r="D59" s="204">
        <v>392173.5</v>
      </c>
      <c r="E59" s="204">
        <v>735730.5</v>
      </c>
      <c r="F59" s="132">
        <f aca="true" t="shared" si="10" ref="F59:F65">(+D59-E59)/E59</f>
        <v>-0.4669603883487228</v>
      </c>
      <c r="G59" s="215">
        <f aca="true" t="shared" si="11" ref="G59:G65">D59/C59</f>
        <v>0.11935000674090078</v>
      </c>
      <c r="H59" s="123"/>
    </row>
    <row r="60" spans="1:8" ht="15.75">
      <c r="A60" s="130"/>
      <c r="B60" s="131">
        <f>DATE(2015,8,1)</f>
        <v>42217</v>
      </c>
      <c r="C60" s="204">
        <v>3046199</v>
      </c>
      <c r="D60" s="204">
        <v>784885.5</v>
      </c>
      <c r="E60" s="204">
        <v>727825</v>
      </c>
      <c r="F60" s="132">
        <f t="shared" si="10"/>
        <v>0.07839865352248136</v>
      </c>
      <c r="G60" s="215">
        <f t="shared" si="11"/>
        <v>0.25766061245506283</v>
      </c>
      <c r="H60" s="123"/>
    </row>
    <row r="61" spans="1:8" ht="15.75">
      <c r="A61" s="130"/>
      <c r="B61" s="131">
        <f>DATE(2015,9,1)</f>
        <v>42248</v>
      </c>
      <c r="C61" s="204">
        <v>2625164</v>
      </c>
      <c r="D61" s="204">
        <v>483089.12</v>
      </c>
      <c r="E61" s="204">
        <v>570839</v>
      </c>
      <c r="F61" s="132">
        <f t="shared" si="10"/>
        <v>-0.15372089152983592</v>
      </c>
      <c r="G61" s="215">
        <f t="shared" si="11"/>
        <v>0.18402245345433657</v>
      </c>
      <c r="H61" s="123"/>
    </row>
    <row r="62" spans="1:8" ht="15.75">
      <c r="A62" s="130"/>
      <c r="B62" s="131">
        <f>DATE(2015,10,1)</f>
        <v>42278</v>
      </c>
      <c r="C62" s="204">
        <v>2686218</v>
      </c>
      <c r="D62" s="204">
        <v>705886</v>
      </c>
      <c r="E62" s="204">
        <v>661480</v>
      </c>
      <c r="F62" s="132">
        <f t="shared" si="10"/>
        <v>0.06713128136905122</v>
      </c>
      <c r="G62" s="215">
        <f t="shared" si="11"/>
        <v>0.2627806082752777</v>
      </c>
      <c r="H62" s="123"/>
    </row>
    <row r="63" spans="1:8" ht="15.75">
      <c r="A63" s="130"/>
      <c r="B63" s="131">
        <f>DATE(2015,11,1)</f>
        <v>42309</v>
      </c>
      <c r="C63" s="204">
        <v>2735790</v>
      </c>
      <c r="D63" s="204">
        <v>654151.5</v>
      </c>
      <c r="E63" s="204">
        <v>551813.5</v>
      </c>
      <c r="F63" s="132">
        <f t="shared" si="10"/>
        <v>0.1854575866665096</v>
      </c>
      <c r="G63" s="215">
        <f t="shared" si="11"/>
        <v>0.23910881317644994</v>
      </c>
      <c r="H63" s="123"/>
    </row>
    <row r="64" spans="1:8" ht="15.75">
      <c r="A64" s="130"/>
      <c r="B64" s="131">
        <f>DATE(2015,12,1)</f>
        <v>42339</v>
      </c>
      <c r="C64" s="204">
        <v>2998703</v>
      </c>
      <c r="D64" s="204">
        <v>705628</v>
      </c>
      <c r="E64" s="204">
        <v>613540.5</v>
      </c>
      <c r="F64" s="132">
        <f t="shared" si="10"/>
        <v>0.15009196621901896</v>
      </c>
      <c r="G64" s="215">
        <f t="shared" si="11"/>
        <v>0.23531106615093259</v>
      </c>
      <c r="H64" s="123"/>
    </row>
    <row r="65" spans="1:8" ht="15.75">
      <c r="A65" s="130"/>
      <c r="B65" s="131">
        <f>DATE(2016,1,1)</f>
        <v>42370</v>
      </c>
      <c r="C65" s="204">
        <v>2809171</v>
      </c>
      <c r="D65" s="204">
        <v>543903</v>
      </c>
      <c r="E65" s="204">
        <v>634906</v>
      </c>
      <c r="F65" s="132">
        <f t="shared" si="10"/>
        <v>-0.14333302882631443</v>
      </c>
      <c r="G65" s="215">
        <f t="shared" si="11"/>
        <v>0.19361690690954733</v>
      </c>
      <c r="H65" s="123"/>
    </row>
    <row r="66" spans="1:8" ht="15.75" customHeight="1" thickBot="1">
      <c r="A66" s="130"/>
      <c r="B66" s="131"/>
      <c r="C66" s="204"/>
      <c r="D66" s="204"/>
      <c r="E66" s="204"/>
      <c r="F66" s="132"/>
      <c r="G66" s="215"/>
      <c r="H66" s="123"/>
    </row>
    <row r="67" spans="1:8" ht="17.25" thickBot="1" thickTop="1">
      <c r="A67" s="141" t="s">
        <v>14</v>
      </c>
      <c r="B67" s="142"/>
      <c r="C67" s="207">
        <f>SUM(C59:C66)</f>
        <v>20187156</v>
      </c>
      <c r="D67" s="261">
        <f>SUM(D59:D66)</f>
        <v>4269716.62</v>
      </c>
      <c r="E67" s="207">
        <f>SUM(E59:E66)</f>
        <v>4496134.5</v>
      </c>
      <c r="F67" s="268">
        <f>(+D67-E67)/E67</f>
        <v>-0.050358342260446144</v>
      </c>
      <c r="G67" s="267">
        <f>D67/C67</f>
        <v>0.21150659458915363</v>
      </c>
      <c r="H67" s="123"/>
    </row>
    <row r="68" spans="1:8" ht="15.75" customHeight="1" thickTop="1">
      <c r="A68" s="130"/>
      <c r="B68" s="134"/>
      <c r="C68" s="204"/>
      <c r="D68" s="204"/>
      <c r="E68" s="204"/>
      <c r="F68" s="132"/>
      <c r="G68" s="218"/>
      <c r="H68" s="123"/>
    </row>
    <row r="69" spans="1:8" ht="15.75">
      <c r="A69" s="130" t="s">
        <v>17</v>
      </c>
      <c r="B69" s="131">
        <f>DATE(2015,7,1)</f>
        <v>42186</v>
      </c>
      <c r="C69" s="204">
        <v>1966583.1</v>
      </c>
      <c r="D69" s="204">
        <v>467437.6</v>
      </c>
      <c r="E69" s="204">
        <v>301337.75</v>
      </c>
      <c r="F69" s="132">
        <f aca="true" t="shared" si="12" ref="F69:F75">(+D69-E69)/E69</f>
        <v>0.5512082372686462</v>
      </c>
      <c r="G69" s="215">
        <f aca="true" t="shared" si="13" ref="G69:G75">D69/C69</f>
        <v>0.23769023541390139</v>
      </c>
      <c r="H69" s="123"/>
    </row>
    <row r="70" spans="1:8" ht="15.75">
      <c r="A70" s="130"/>
      <c r="B70" s="131">
        <f>DATE(2015,8,1)</f>
        <v>42217</v>
      </c>
      <c r="C70" s="204">
        <v>1732068</v>
      </c>
      <c r="D70" s="204">
        <v>413705.5</v>
      </c>
      <c r="E70" s="204">
        <v>367412.51</v>
      </c>
      <c r="F70" s="132">
        <f t="shared" si="12"/>
        <v>0.12599731566026423</v>
      </c>
      <c r="G70" s="215">
        <f t="shared" si="13"/>
        <v>0.23885061094599058</v>
      </c>
      <c r="H70" s="123"/>
    </row>
    <row r="71" spans="1:8" ht="15.75">
      <c r="A71" s="130"/>
      <c r="B71" s="131">
        <f>DATE(2015,9,1)</f>
        <v>42248</v>
      </c>
      <c r="C71" s="204">
        <v>1651415.5</v>
      </c>
      <c r="D71" s="204">
        <v>370127.5</v>
      </c>
      <c r="E71" s="204">
        <v>473348.25</v>
      </c>
      <c r="F71" s="132">
        <f t="shared" si="12"/>
        <v>-0.21806513491916363</v>
      </c>
      <c r="G71" s="215">
        <f t="shared" si="13"/>
        <v>0.22412742280788814</v>
      </c>
      <c r="H71" s="123"/>
    </row>
    <row r="72" spans="1:8" ht="15.75">
      <c r="A72" s="130"/>
      <c r="B72" s="131">
        <f>DATE(2015,10,1)</f>
        <v>42278</v>
      </c>
      <c r="C72" s="204">
        <v>1663855</v>
      </c>
      <c r="D72" s="204">
        <v>339797.5</v>
      </c>
      <c r="E72" s="204">
        <v>303884.6</v>
      </c>
      <c r="F72" s="132">
        <f t="shared" si="12"/>
        <v>0.11817940099629934</v>
      </c>
      <c r="G72" s="215">
        <f t="shared" si="13"/>
        <v>0.2042230242418961</v>
      </c>
      <c r="H72" s="123"/>
    </row>
    <row r="73" spans="1:8" ht="15.75">
      <c r="A73" s="130"/>
      <c r="B73" s="131">
        <f>DATE(2015,11,1)</f>
        <v>42309</v>
      </c>
      <c r="C73" s="204">
        <v>1654439.05</v>
      </c>
      <c r="D73" s="204">
        <v>385671.05</v>
      </c>
      <c r="E73" s="204">
        <v>299669.5</v>
      </c>
      <c r="F73" s="132">
        <f t="shared" si="12"/>
        <v>0.2869879984449535</v>
      </c>
      <c r="G73" s="215">
        <f t="shared" si="13"/>
        <v>0.2331128789543501</v>
      </c>
      <c r="H73" s="123"/>
    </row>
    <row r="74" spans="1:8" ht="15.75">
      <c r="A74" s="130"/>
      <c r="B74" s="131">
        <f>DATE(2015,12,1)</f>
        <v>42339</v>
      </c>
      <c r="C74" s="204">
        <v>1604107</v>
      </c>
      <c r="D74" s="204">
        <v>388818</v>
      </c>
      <c r="E74" s="204">
        <v>221697.7</v>
      </c>
      <c r="F74" s="132">
        <f t="shared" si="12"/>
        <v>0.7538206305252602</v>
      </c>
      <c r="G74" s="215">
        <f t="shared" si="13"/>
        <v>0.24238906756220127</v>
      </c>
      <c r="H74" s="123"/>
    </row>
    <row r="75" spans="1:8" ht="15.75">
      <c r="A75" s="130"/>
      <c r="B75" s="131">
        <f>DATE(2016,1,1)</f>
        <v>42370</v>
      </c>
      <c r="C75" s="204">
        <v>1710737.5</v>
      </c>
      <c r="D75" s="204">
        <v>338030</v>
      </c>
      <c r="E75" s="204">
        <v>267024.5</v>
      </c>
      <c r="F75" s="132">
        <f t="shared" si="12"/>
        <v>0.26591380191705255</v>
      </c>
      <c r="G75" s="215">
        <f t="shared" si="13"/>
        <v>0.1975931433080762</v>
      </c>
      <c r="H75" s="123"/>
    </row>
    <row r="76" spans="1:8" ht="15.75" customHeight="1" thickBot="1">
      <c r="A76" s="130"/>
      <c r="B76" s="131"/>
      <c r="C76" s="204"/>
      <c r="D76" s="204"/>
      <c r="E76" s="204"/>
      <c r="F76" s="132"/>
      <c r="G76" s="215"/>
      <c r="H76" s="123"/>
    </row>
    <row r="77" spans="1:8" ht="17.25" thickBot="1" thickTop="1">
      <c r="A77" s="141" t="s">
        <v>14</v>
      </c>
      <c r="B77" s="142"/>
      <c r="C77" s="207">
        <f>SUM(C69:C76)</f>
        <v>11983205.15</v>
      </c>
      <c r="D77" s="261">
        <f>SUM(D69:D76)</f>
        <v>2703587.1500000004</v>
      </c>
      <c r="E77" s="207">
        <f>SUM(E69:E76)</f>
        <v>2234374.8099999996</v>
      </c>
      <c r="F77" s="269">
        <f>(+D77-E77)/E77</f>
        <v>0.2099971490459118</v>
      </c>
      <c r="G77" s="267">
        <f>D77/C77</f>
        <v>0.2256146929104356</v>
      </c>
      <c r="H77" s="123"/>
    </row>
    <row r="78" spans="1:8" ht="15.75" customHeight="1" thickTop="1">
      <c r="A78" s="130"/>
      <c r="B78" s="139"/>
      <c r="C78" s="205"/>
      <c r="D78" s="205"/>
      <c r="E78" s="205"/>
      <c r="F78" s="140"/>
      <c r="G78" s="216"/>
      <c r="H78" s="123"/>
    </row>
    <row r="79" spans="1:8" ht="15.75">
      <c r="A79" s="130" t="s">
        <v>55</v>
      </c>
      <c r="B79" s="131">
        <f>DATE(2015,7,1)</f>
        <v>42186</v>
      </c>
      <c r="C79" s="204">
        <v>10971270</v>
      </c>
      <c r="D79" s="204">
        <v>2155194.5</v>
      </c>
      <c r="E79" s="204">
        <v>2162151.44</v>
      </c>
      <c r="F79" s="132">
        <f aca="true" t="shared" si="14" ref="F79:F85">(+D79-E79)/E79</f>
        <v>-0.003217600706081876</v>
      </c>
      <c r="G79" s="215">
        <f aca="true" t="shared" si="15" ref="G79:G85">D79/C79</f>
        <v>0.19643983786744834</v>
      </c>
      <c r="H79" s="123"/>
    </row>
    <row r="80" spans="1:8" ht="15.75">
      <c r="A80" s="130"/>
      <c r="B80" s="131">
        <f>DATE(2015,8,1)</f>
        <v>42217</v>
      </c>
      <c r="C80" s="204">
        <v>11760782</v>
      </c>
      <c r="D80" s="204">
        <v>1871026</v>
      </c>
      <c r="E80" s="204">
        <v>2638369.5</v>
      </c>
      <c r="F80" s="132">
        <f t="shared" si="14"/>
        <v>-0.29084004344349795</v>
      </c>
      <c r="G80" s="215">
        <f t="shared" si="15"/>
        <v>0.15909027137821277</v>
      </c>
      <c r="H80" s="123"/>
    </row>
    <row r="81" spans="1:8" ht="15.75">
      <c r="A81" s="130"/>
      <c r="B81" s="131">
        <f>DATE(2015,9,1)</f>
        <v>42248</v>
      </c>
      <c r="C81" s="204">
        <v>11270033</v>
      </c>
      <c r="D81" s="204">
        <v>1903429.82</v>
      </c>
      <c r="E81" s="204">
        <v>2375626.68</v>
      </c>
      <c r="F81" s="132">
        <f t="shared" si="14"/>
        <v>-0.19876728274494715</v>
      </c>
      <c r="G81" s="215">
        <f t="shared" si="15"/>
        <v>0.16889301211451643</v>
      </c>
      <c r="H81" s="123"/>
    </row>
    <row r="82" spans="1:8" ht="15.75">
      <c r="A82" s="130"/>
      <c r="B82" s="131">
        <f>DATE(2015,10,1)</f>
        <v>42278</v>
      </c>
      <c r="C82" s="204">
        <v>11909835</v>
      </c>
      <c r="D82" s="204">
        <v>2358646.99</v>
      </c>
      <c r="E82" s="204">
        <v>2426645.58</v>
      </c>
      <c r="F82" s="132">
        <f t="shared" si="14"/>
        <v>-0.028021640473760427</v>
      </c>
      <c r="G82" s="215">
        <f t="shared" si="15"/>
        <v>0.19804195356190915</v>
      </c>
      <c r="H82" s="123"/>
    </row>
    <row r="83" spans="1:8" ht="15.75">
      <c r="A83" s="130"/>
      <c r="B83" s="131">
        <f>DATE(2015,11,1)</f>
        <v>42309</v>
      </c>
      <c r="C83" s="204">
        <v>11952208</v>
      </c>
      <c r="D83" s="204">
        <v>2479916.3</v>
      </c>
      <c r="E83" s="204">
        <v>2399138.8</v>
      </c>
      <c r="F83" s="132">
        <f t="shared" si="14"/>
        <v>0.03366937336014073</v>
      </c>
      <c r="G83" s="215">
        <f t="shared" si="15"/>
        <v>0.20748603939958205</v>
      </c>
      <c r="H83" s="123"/>
    </row>
    <row r="84" spans="1:8" ht="15.75">
      <c r="A84" s="130"/>
      <c r="B84" s="131">
        <f>DATE(2015,12,1)</f>
        <v>42339</v>
      </c>
      <c r="C84" s="204">
        <v>11947984</v>
      </c>
      <c r="D84" s="204">
        <v>2581515.25</v>
      </c>
      <c r="E84" s="204">
        <v>1778216.99</v>
      </c>
      <c r="F84" s="132">
        <f t="shared" si="14"/>
        <v>0.45174366487185574</v>
      </c>
      <c r="G84" s="215">
        <f t="shared" si="15"/>
        <v>0.2160628311855791</v>
      </c>
      <c r="H84" s="123"/>
    </row>
    <row r="85" spans="1:8" ht="15.75">
      <c r="A85" s="130"/>
      <c r="B85" s="131">
        <f>DATE(2016,1,1)</f>
        <v>42370</v>
      </c>
      <c r="C85" s="204">
        <v>11260344</v>
      </c>
      <c r="D85" s="204">
        <v>2513978.71</v>
      </c>
      <c r="E85" s="204">
        <v>2098089.29</v>
      </c>
      <c r="F85" s="132">
        <f t="shared" si="14"/>
        <v>0.19822293645090763</v>
      </c>
      <c r="G85" s="215">
        <f t="shared" si="15"/>
        <v>0.2232594945589584</v>
      </c>
      <c r="H85" s="123"/>
    </row>
    <row r="86" spans="1:8" ht="15.75" customHeight="1" thickBot="1">
      <c r="A86" s="130"/>
      <c r="B86" s="131"/>
      <c r="C86" s="204"/>
      <c r="D86" s="204"/>
      <c r="E86" s="204"/>
      <c r="F86" s="132"/>
      <c r="G86" s="215"/>
      <c r="H86" s="123"/>
    </row>
    <row r="87" spans="1:8" ht="17.25" thickBot="1" thickTop="1">
      <c r="A87" s="141" t="s">
        <v>14</v>
      </c>
      <c r="B87" s="142"/>
      <c r="C87" s="206">
        <f>SUM(C79:C86)</f>
        <v>81072456</v>
      </c>
      <c r="D87" s="206">
        <f>SUM(D79:D86)</f>
        <v>15863707.57</v>
      </c>
      <c r="E87" s="206">
        <f>SUM(E79:E86)</f>
        <v>15878238.280000001</v>
      </c>
      <c r="F87" s="143">
        <f>(+D87-E87)/E87</f>
        <v>-0.0009151336403802156</v>
      </c>
      <c r="G87" s="217">
        <f>D87/C87</f>
        <v>0.1956732082965391</v>
      </c>
      <c r="H87" s="123"/>
    </row>
    <row r="88" spans="1:8" ht="15.75" customHeight="1" thickTop="1">
      <c r="A88" s="138"/>
      <c r="B88" s="139"/>
      <c r="C88" s="205"/>
      <c r="D88" s="205"/>
      <c r="E88" s="205"/>
      <c r="F88" s="140"/>
      <c r="G88" s="216"/>
      <c r="H88" s="123"/>
    </row>
    <row r="89" spans="1:8" ht="15.75">
      <c r="A89" s="130" t="s">
        <v>18</v>
      </c>
      <c r="B89" s="131">
        <f>DATE(2015,7,1)</f>
        <v>42186</v>
      </c>
      <c r="C89" s="204">
        <v>10255459.01</v>
      </c>
      <c r="D89" s="204">
        <v>2314488.01</v>
      </c>
      <c r="E89" s="204">
        <v>1710881</v>
      </c>
      <c r="F89" s="132">
        <f aca="true" t="shared" si="16" ref="F89:F95">(+D89-E89)/E89</f>
        <v>0.3528047888777769</v>
      </c>
      <c r="G89" s="215">
        <f aca="true" t="shared" si="17" ref="G89:G95">D89/C89</f>
        <v>0.22568351233651898</v>
      </c>
      <c r="H89" s="123"/>
    </row>
    <row r="90" spans="1:8" ht="15.75">
      <c r="A90" s="130"/>
      <c r="B90" s="131">
        <f>DATE(2015,8,1)</f>
        <v>42217</v>
      </c>
      <c r="C90" s="204">
        <v>11925853</v>
      </c>
      <c r="D90" s="204">
        <v>2325485</v>
      </c>
      <c r="E90" s="204">
        <v>2016444</v>
      </c>
      <c r="F90" s="132">
        <f t="shared" si="16"/>
        <v>0.15326039304835642</v>
      </c>
      <c r="G90" s="215">
        <f t="shared" si="17"/>
        <v>0.19499527622887855</v>
      </c>
      <c r="H90" s="123"/>
    </row>
    <row r="91" spans="1:8" ht="15.75">
      <c r="A91" s="130"/>
      <c r="B91" s="131">
        <f>DATE(2015,9,1)</f>
        <v>42248</v>
      </c>
      <c r="C91" s="204">
        <v>10882982</v>
      </c>
      <c r="D91" s="204">
        <v>2224817.5</v>
      </c>
      <c r="E91" s="204">
        <v>1741477</v>
      </c>
      <c r="F91" s="132">
        <f t="shared" si="16"/>
        <v>0.2775463012144289</v>
      </c>
      <c r="G91" s="215">
        <f t="shared" si="17"/>
        <v>0.204430871979757</v>
      </c>
      <c r="H91" s="123"/>
    </row>
    <row r="92" spans="1:8" ht="15.75">
      <c r="A92" s="130"/>
      <c r="B92" s="131">
        <f>DATE(2015,10,1)</f>
        <v>42278</v>
      </c>
      <c r="C92" s="204">
        <v>10481328</v>
      </c>
      <c r="D92" s="204">
        <v>1970896.5</v>
      </c>
      <c r="E92" s="204">
        <v>2135188.5</v>
      </c>
      <c r="F92" s="132">
        <f t="shared" si="16"/>
        <v>-0.07694496293886934</v>
      </c>
      <c r="G92" s="215">
        <f t="shared" si="17"/>
        <v>0.18803881531042632</v>
      </c>
      <c r="H92" s="123"/>
    </row>
    <row r="93" spans="1:8" ht="15.75">
      <c r="A93" s="130"/>
      <c r="B93" s="131">
        <f>DATE(2015,11,1)</f>
        <v>42309</v>
      </c>
      <c r="C93" s="204">
        <v>9921826</v>
      </c>
      <c r="D93" s="204">
        <v>2324852.5</v>
      </c>
      <c r="E93" s="204">
        <v>2079297.5</v>
      </c>
      <c r="F93" s="132">
        <f t="shared" si="16"/>
        <v>0.11809517397101665</v>
      </c>
      <c r="G93" s="215">
        <f t="shared" si="17"/>
        <v>0.2343169997135608</v>
      </c>
      <c r="H93" s="123"/>
    </row>
    <row r="94" spans="1:8" ht="15.75">
      <c r="A94" s="130"/>
      <c r="B94" s="131">
        <f>DATE(2015,12,1)</f>
        <v>42339</v>
      </c>
      <c r="C94" s="204">
        <v>11475277</v>
      </c>
      <c r="D94" s="204">
        <v>2487495.5</v>
      </c>
      <c r="E94" s="204">
        <v>1998357.25</v>
      </c>
      <c r="F94" s="132">
        <f t="shared" si="16"/>
        <v>0.24477017310093077</v>
      </c>
      <c r="G94" s="215">
        <f t="shared" si="17"/>
        <v>0.21676997426728783</v>
      </c>
      <c r="H94" s="123"/>
    </row>
    <row r="95" spans="1:8" ht="15.75">
      <c r="A95" s="130"/>
      <c r="B95" s="131">
        <f>DATE(2016,1,1)</f>
        <v>42370</v>
      </c>
      <c r="C95" s="204">
        <v>10991014</v>
      </c>
      <c r="D95" s="204">
        <v>2020173.5</v>
      </c>
      <c r="E95" s="204">
        <v>2020720</v>
      </c>
      <c r="F95" s="132">
        <f t="shared" si="16"/>
        <v>-0.00027044815709252146</v>
      </c>
      <c r="G95" s="215">
        <f t="shared" si="17"/>
        <v>0.18380228612209937</v>
      </c>
      <c r="H95" s="123"/>
    </row>
    <row r="96" spans="1:8" ht="15.75" customHeight="1" thickBot="1">
      <c r="A96" s="130"/>
      <c r="B96" s="131"/>
      <c r="C96" s="204"/>
      <c r="D96" s="204"/>
      <c r="E96" s="204"/>
      <c r="F96" s="132"/>
      <c r="G96" s="215"/>
      <c r="H96" s="123"/>
    </row>
    <row r="97" spans="1:8" ht="17.25" thickBot="1" thickTop="1">
      <c r="A97" s="141" t="s">
        <v>14</v>
      </c>
      <c r="B97" s="142"/>
      <c r="C97" s="206">
        <f>SUM(C89:C96)</f>
        <v>75933739.00999999</v>
      </c>
      <c r="D97" s="206">
        <f>SUM(D89:D96)</f>
        <v>15668208.51</v>
      </c>
      <c r="E97" s="206">
        <f>SUM(E89:E96)</f>
        <v>13702365.25</v>
      </c>
      <c r="F97" s="143">
        <f>(+D97-E97)/E97</f>
        <v>0.1434674396816272</v>
      </c>
      <c r="G97" s="217">
        <f>D97/C97</f>
        <v>0.2063405373458114</v>
      </c>
      <c r="H97" s="123"/>
    </row>
    <row r="98" spans="1:8" ht="15.75" customHeight="1" thickTop="1">
      <c r="A98" s="138"/>
      <c r="B98" s="139"/>
      <c r="C98" s="205"/>
      <c r="D98" s="205"/>
      <c r="E98" s="205"/>
      <c r="F98" s="140"/>
      <c r="G98" s="216"/>
      <c r="H98" s="123"/>
    </row>
    <row r="99" spans="1:8" ht="15.75">
      <c r="A99" s="130" t="s">
        <v>58</v>
      </c>
      <c r="B99" s="131">
        <f>DATE(2015,7,1)</f>
        <v>42186</v>
      </c>
      <c r="C99" s="204">
        <v>10364978.5</v>
      </c>
      <c r="D99" s="204">
        <v>1806548.1</v>
      </c>
      <c r="E99" s="204">
        <v>1919455.5</v>
      </c>
      <c r="F99" s="132">
        <f aca="true" t="shared" si="18" ref="F99:F105">(+D99-E99)/E99</f>
        <v>-0.058822619227171406</v>
      </c>
      <c r="G99" s="215">
        <f aca="true" t="shared" si="19" ref="G99:G105">D99/C99</f>
        <v>0.17429347296764774</v>
      </c>
      <c r="H99" s="123"/>
    </row>
    <row r="100" spans="1:8" ht="15.75">
      <c r="A100" s="130"/>
      <c r="B100" s="131">
        <f>DATE(2015,8,1)</f>
        <v>42217</v>
      </c>
      <c r="C100" s="204">
        <v>10869439</v>
      </c>
      <c r="D100" s="204">
        <v>2221425.98</v>
      </c>
      <c r="E100" s="204">
        <v>1923950.5</v>
      </c>
      <c r="F100" s="132">
        <f t="shared" si="18"/>
        <v>0.15461701327554944</v>
      </c>
      <c r="G100" s="215">
        <f t="shared" si="19"/>
        <v>0.20437356334581758</v>
      </c>
      <c r="H100" s="123"/>
    </row>
    <row r="101" spans="1:8" ht="15.75">
      <c r="A101" s="130"/>
      <c r="B101" s="131">
        <f>DATE(2015,9,1)</f>
        <v>42248</v>
      </c>
      <c r="C101" s="204">
        <v>10687993</v>
      </c>
      <c r="D101" s="204">
        <v>1777682.35</v>
      </c>
      <c r="E101" s="204">
        <v>2150849.5</v>
      </c>
      <c r="F101" s="132">
        <f t="shared" si="18"/>
        <v>-0.17349756456693038</v>
      </c>
      <c r="G101" s="215">
        <f t="shared" si="19"/>
        <v>0.16632517910518843</v>
      </c>
      <c r="H101" s="123"/>
    </row>
    <row r="102" spans="1:8" ht="15.75">
      <c r="A102" s="130"/>
      <c r="B102" s="131">
        <f>DATE(2015,10,1)</f>
        <v>42278</v>
      </c>
      <c r="C102" s="204">
        <v>10719882</v>
      </c>
      <c r="D102" s="204">
        <v>2211803.04</v>
      </c>
      <c r="E102" s="204">
        <v>1663467.5</v>
      </c>
      <c r="F102" s="132">
        <f t="shared" si="18"/>
        <v>0.3296340565715892</v>
      </c>
      <c r="G102" s="215">
        <f t="shared" si="19"/>
        <v>0.20632718158651372</v>
      </c>
      <c r="H102" s="123"/>
    </row>
    <row r="103" spans="1:8" ht="15.75">
      <c r="A103" s="130"/>
      <c r="B103" s="131">
        <f>DATE(2015,11,1)</f>
        <v>42309</v>
      </c>
      <c r="C103" s="204">
        <v>10706643</v>
      </c>
      <c r="D103" s="204">
        <v>2406443.5</v>
      </c>
      <c r="E103" s="204">
        <v>1870760.5</v>
      </c>
      <c r="F103" s="132">
        <f t="shared" si="18"/>
        <v>0.2863450452369504</v>
      </c>
      <c r="G103" s="215">
        <f t="shared" si="19"/>
        <v>0.22476172036370318</v>
      </c>
      <c r="H103" s="123"/>
    </row>
    <row r="104" spans="1:8" ht="15.75">
      <c r="A104" s="130"/>
      <c r="B104" s="131">
        <f>DATE(2015,12,1)</f>
        <v>42339</v>
      </c>
      <c r="C104" s="204">
        <v>11021944.5</v>
      </c>
      <c r="D104" s="204">
        <v>1930182.68</v>
      </c>
      <c r="E104" s="204">
        <v>2246516</v>
      </c>
      <c r="F104" s="132">
        <f t="shared" si="18"/>
        <v>-0.14081062409526576</v>
      </c>
      <c r="G104" s="215">
        <f t="shared" si="19"/>
        <v>0.17512179271089598</v>
      </c>
      <c r="H104" s="123"/>
    </row>
    <row r="105" spans="1:8" ht="15.75">
      <c r="A105" s="130"/>
      <c r="B105" s="131">
        <f>DATE(2016,1,1)</f>
        <v>42370</v>
      </c>
      <c r="C105" s="204">
        <v>10762037</v>
      </c>
      <c r="D105" s="204">
        <v>1957162.91</v>
      </c>
      <c r="E105" s="204">
        <v>1836020</v>
      </c>
      <c r="F105" s="132">
        <f t="shared" si="18"/>
        <v>0.06598125837409174</v>
      </c>
      <c r="G105" s="215">
        <f t="shared" si="19"/>
        <v>0.18185803579749818</v>
      </c>
      <c r="H105" s="123"/>
    </row>
    <row r="106" spans="1:8" ht="15.75" thickBot="1">
      <c r="A106" s="133"/>
      <c r="B106" s="131"/>
      <c r="C106" s="204"/>
      <c r="D106" s="204"/>
      <c r="E106" s="204"/>
      <c r="F106" s="132"/>
      <c r="G106" s="215"/>
      <c r="H106" s="123"/>
    </row>
    <row r="107" spans="1:8" ht="17.25" thickBot="1" thickTop="1">
      <c r="A107" s="141" t="s">
        <v>14</v>
      </c>
      <c r="B107" s="142"/>
      <c r="C107" s="207">
        <f>SUM(C99:C106)</f>
        <v>75132917</v>
      </c>
      <c r="D107" s="207">
        <f>SUM(D99:D106)</f>
        <v>14311248.559999999</v>
      </c>
      <c r="E107" s="207">
        <f>SUM(E99:E106)</f>
        <v>13611019.5</v>
      </c>
      <c r="F107" s="143">
        <f>(+D107-E107)/E107</f>
        <v>0.05144574658790245</v>
      </c>
      <c r="G107" s="267">
        <f>D107/C107</f>
        <v>0.19047907536985417</v>
      </c>
      <c r="H107" s="123"/>
    </row>
    <row r="108" spans="1:8" ht="15.75" customHeight="1" thickTop="1">
      <c r="A108" s="138"/>
      <c r="B108" s="139"/>
      <c r="C108" s="205"/>
      <c r="D108" s="205"/>
      <c r="E108" s="205"/>
      <c r="F108" s="140"/>
      <c r="G108" s="219"/>
      <c r="H108" s="123"/>
    </row>
    <row r="109" spans="1:8" ht="15.75">
      <c r="A109" s="130" t="s">
        <v>59</v>
      </c>
      <c r="B109" s="131">
        <f>DATE(2015,7,1)</f>
        <v>42186</v>
      </c>
      <c r="C109" s="204">
        <v>937598</v>
      </c>
      <c r="D109" s="204">
        <v>181510</v>
      </c>
      <c r="E109" s="204">
        <v>194050.5</v>
      </c>
      <c r="F109" s="132">
        <f aca="true" t="shared" si="20" ref="F109:F115">(+D109-E109)/E109</f>
        <v>-0.06462493010839962</v>
      </c>
      <c r="G109" s="215">
        <f aca="true" t="shared" si="21" ref="G109:G115">D109/C109</f>
        <v>0.1935904300137159</v>
      </c>
      <c r="H109" s="123"/>
    </row>
    <row r="110" spans="1:8" ht="15.75">
      <c r="A110" s="130"/>
      <c r="B110" s="131">
        <f>DATE(2015,8,1)</f>
        <v>42217</v>
      </c>
      <c r="C110" s="204">
        <v>928784</v>
      </c>
      <c r="D110" s="204">
        <v>193758</v>
      </c>
      <c r="E110" s="204">
        <v>244997</v>
      </c>
      <c r="F110" s="132">
        <f t="shared" si="20"/>
        <v>-0.20914133642452765</v>
      </c>
      <c r="G110" s="215">
        <f t="shared" si="21"/>
        <v>0.20861470481834313</v>
      </c>
      <c r="H110" s="123"/>
    </row>
    <row r="111" spans="1:8" ht="15.75">
      <c r="A111" s="130"/>
      <c r="B111" s="131">
        <f>DATE(2015,9,1)</f>
        <v>42248</v>
      </c>
      <c r="C111" s="204">
        <v>839785</v>
      </c>
      <c r="D111" s="204">
        <v>230949</v>
      </c>
      <c r="E111" s="204">
        <v>142249.5</v>
      </c>
      <c r="F111" s="132">
        <f t="shared" si="20"/>
        <v>0.6235487646705261</v>
      </c>
      <c r="G111" s="215">
        <f t="shared" si="21"/>
        <v>0.2750096750954113</v>
      </c>
      <c r="H111" s="123"/>
    </row>
    <row r="112" spans="1:8" ht="15.75">
      <c r="A112" s="130"/>
      <c r="B112" s="131">
        <f>DATE(2015,10,1)</f>
        <v>42278</v>
      </c>
      <c r="C112" s="204">
        <v>826625</v>
      </c>
      <c r="D112" s="204">
        <v>214385</v>
      </c>
      <c r="E112" s="204">
        <v>203528</v>
      </c>
      <c r="F112" s="132">
        <f t="shared" si="20"/>
        <v>0.05334401163476279</v>
      </c>
      <c r="G112" s="215">
        <f t="shared" si="21"/>
        <v>0.2593497656131861</v>
      </c>
      <c r="H112" s="123"/>
    </row>
    <row r="113" spans="1:8" ht="15.75">
      <c r="A113" s="130"/>
      <c r="B113" s="131">
        <f>DATE(2015,11,1)</f>
        <v>42309</v>
      </c>
      <c r="C113" s="204">
        <v>910906</v>
      </c>
      <c r="D113" s="204">
        <v>248410.5</v>
      </c>
      <c r="E113" s="204">
        <v>229154.5</v>
      </c>
      <c r="F113" s="132">
        <f t="shared" si="20"/>
        <v>0.0840306430814145</v>
      </c>
      <c r="G113" s="215">
        <f t="shared" si="21"/>
        <v>0.27270706307785875</v>
      </c>
      <c r="H113" s="123"/>
    </row>
    <row r="114" spans="1:8" ht="15.75">
      <c r="A114" s="130"/>
      <c r="B114" s="131">
        <f>DATE(2015,12,1)</f>
        <v>42339</v>
      </c>
      <c r="C114" s="204">
        <v>910415.5</v>
      </c>
      <c r="D114" s="204">
        <v>229747</v>
      </c>
      <c r="E114" s="204">
        <v>204682</v>
      </c>
      <c r="F114" s="132">
        <f t="shared" si="20"/>
        <v>0.1224582523133446</v>
      </c>
      <c r="G114" s="215">
        <f t="shared" si="21"/>
        <v>0.2523540075932363</v>
      </c>
      <c r="H114" s="123"/>
    </row>
    <row r="115" spans="1:8" ht="15.75">
      <c r="A115" s="130"/>
      <c r="B115" s="131">
        <f>DATE(2016,1,1)</f>
        <v>42370</v>
      </c>
      <c r="C115" s="204">
        <v>894566</v>
      </c>
      <c r="D115" s="204">
        <v>260312.5</v>
      </c>
      <c r="E115" s="204">
        <v>205359</v>
      </c>
      <c r="F115" s="132">
        <f t="shared" si="20"/>
        <v>0.2675972321641613</v>
      </c>
      <c r="G115" s="215">
        <f t="shared" si="21"/>
        <v>0.29099306255770957</v>
      </c>
      <c r="H115" s="123"/>
    </row>
    <row r="116" spans="1:8" ht="15.75" thickBot="1">
      <c r="A116" s="133"/>
      <c r="B116" s="134"/>
      <c r="C116" s="204"/>
      <c r="D116" s="204"/>
      <c r="E116" s="204"/>
      <c r="F116" s="132"/>
      <c r="G116" s="215"/>
      <c r="H116" s="123"/>
    </row>
    <row r="117" spans="1:8" ht="17.25" thickBot="1" thickTop="1">
      <c r="A117" s="144" t="s">
        <v>14</v>
      </c>
      <c r="B117" s="145"/>
      <c r="C117" s="207">
        <f>SUM(C109:C116)</f>
        <v>6248679.5</v>
      </c>
      <c r="D117" s="207">
        <f>SUM(D109:D116)</f>
        <v>1559072</v>
      </c>
      <c r="E117" s="207">
        <f>SUM(E109:E116)</f>
        <v>1424020.5</v>
      </c>
      <c r="F117" s="143">
        <f>(+D117-E117)/E117</f>
        <v>0.09483817122014747</v>
      </c>
      <c r="G117" s="217">
        <f>D117/C117</f>
        <v>0.24950423525482465</v>
      </c>
      <c r="H117" s="123"/>
    </row>
    <row r="118" spans="1:8" ht="15.75" customHeight="1" thickTop="1">
      <c r="A118" s="130"/>
      <c r="B118" s="134"/>
      <c r="C118" s="204"/>
      <c r="D118" s="204"/>
      <c r="E118" s="204"/>
      <c r="F118" s="132"/>
      <c r="G118" s="218"/>
      <c r="H118" s="123"/>
    </row>
    <row r="119" spans="1:8" ht="15.75">
      <c r="A119" s="130" t="s">
        <v>40</v>
      </c>
      <c r="B119" s="131">
        <f>DATE(2015,7,1)</f>
        <v>42186</v>
      </c>
      <c r="C119" s="204">
        <v>14243703</v>
      </c>
      <c r="D119" s="204">
        <v>2871650</v>
      </c>
      <c r="E119" s="204">
        <v>2630944</v>
      </c>
      <c r="F119" s="132">
        <f aca="true" t="shared" si="22" ref="F119:F125">(+D119-E119)/E119</f>
        <v>0.0914903547928044</v>
      </c>
      <c r="G119" s="215">
        <f aca="true" t="shared" si="23" ref="G119:G125">D119/C119</f>
        <v>0.20160838793114402</v>
      </c>
      <c r="H119" s="123"/>
    </row>
    <row r="120" spans="1:8" ht="15.75">
      <c r="A120" s="130"/>
      <c r="B120" s="131">
        <f>DATE(2015,8,1)</f>
        <v>42217</v>
      </c>
      <c r="C120" s="204">
        <v>14467050</v>
      </c>
      <c r="D120" s="204">
        <v>2483226.1</v>
      </c>
      <c r="E120" s="204">
        <v>2671558</v>
      </c>
      <c r="F120" s="132">
        <f t="shared" si="22"/>
        <v>-0.07049515675871529</v>
      </c>
      <c r="G120" s="215">
        <f t="shared" si="23"/>
        <v>0.1716470254820437</v>
      </c>
      <c r="H120" s="123"/>
    </row>
    <row r="121" spans="1:8" ht="15.75">
      <c r="A121" s="130"/>
      <c r="B121" s="131">
        <f>DATE(2015,9,1)</f>
        <v>42248</v>
      </c>
      <c r="C121" s="204">
        <v>13218111</v>
      </c>
      <c r="D121" s="204">
        <v>2251011.1</v>
      </c>
      <c r="E121" s="204">
        <v>2695451</v>
      </c>
      <c r="F121" s="132">
        <f t="shared" si="22"/>
        <v>-0.16488517134980377</v>
      </c>
      <c r="G121" s="215">
        <f t="shared" si="23"/>
        <v>0.1702974880450013</v>
      </c>
      <c r="H121" s="123"/>
    </row>
    <row r="122" spans="1:8" ht="15.75">
      <c r="A122" s="130"/>
      <c r="B122" s="131">
        <f>DATE(2015,10,1)</f>
        <v>42278</v>
      </c>
      <c r="C122" s="204">
        <v>14354332</v>
      </c>
      <c r="D122" s="204">
        <v>2924385.2</v>
      </c>
      <c r="E122" s="204">
        <v>2840403</v>
      </c>
      <c r="F122" s="132">
        <f t="shared" si="22"/>
        <v>0.029567001583930233</v>
      </c>
      <c r="G122" s="215">
        <f t="shared" si="23"/>
        <v>0.20372840756365396</v>
      </c>
      <c r="H122" s="123"/>
    </row>
    <row r="123" spans="1:8" ht="15.75">
      <c r="A123" s="130"/>
      <c r="B123" s="131">
        <f>DATE(2015,11,1)</f>
        <v>42309</v>
      </c>
      <c r="C123" s="204">
        <v>16270075.75</v>
      </c>
      <c r="D123" s="204">
        <v>2858924.75</v>
      </c>
      <c r="E123" s="204">
        <v>2781702</v>
      </c>
      <c r="F123" s="132">
        <f t="shared" si="22"/>
        <v>0.027760971520313822</v>
      </c>
      <c r="G123" s="215">
        <f t="shared" si="23"/>
        <v>0.1757167448959173</v>
      </c>
      <c r="H123" s="123"/>
    </row>
    <row r="124" spans="1:8" ht="15.75">
      <c r="A124" s="130"/>
      <c r="B124" s="131">
        <f>DATE(2015,12,1)</f>
        <v>42339</v>
      </c>
      <c r="C124" s="204">
        <v>15262222.5</v>
      </c>
      <c r="D124" s="204">
        <v>2963713.5</v>
      </c>
      <c r="E124" s="204">
        <v>2990638.5</v>
      </c>
      <c r="F124" s="132">
        <f t="shared" si="22"/>
        <v>-0.00900309415531165</v>
      </c>
      <c r="G124" s="215">
        <f t="shared" si="23"/>
        <v>0.1941862333614911</v>
      </c>
      <c r="H124" s="123"/>
    </row>
    <row r="125" spans="1:8" ht="15.75">
      <c r="A125" s="130"/>
      <c r="B125" s="131">
        <f>DATE(2016,1,1)</f>
        <v>42370</v>
      </c>
      <c r="C125" s="204">
        <v>14505597</v>
      </c>
      <c r="D125" s="204">
        <v>2954938</v>
      </c>
      <c r="E125" s="204">
        <v>2785863.5</v>
      </c>
      <c r="F125" s="132">
        <f t="shared" si="22"/>
        <v>0.06069015944248525</v>
      </c>
      <c r="G125" s="215">
        <f t="shared" si="23"/>
        <v>0.2037101954507629</v>
      </c>
      <c r="H125" s="123"/>
    </row>
    <row r="126" spans="1:8" ht="15.75" thickBot="1">
      <c r="A126" s="133"/>
      <c r="B126" s="134"/>
      <c r="C126" s="204"/>
      <c r="D126" s="204"/>
      <c r="E126" s="204"/>
      <c r="F126" s="132"/>
      <c r="G126" s="215"/>
      <c r="H126" s="123"/>
    </row>
    <row r="127" spans="1:8" ht="17.25" thickBot="1" thickTop="1">
      <c r="A127" s="141" t="s">
        <v>14</v>
      </c>
      <c r="B127" s="142"/>
      <c r="C127" s="206">
        <f>SUM(C119:C126)</f>
        <v>102321091.25</v>
      </c>
      <c r="D127" s="207">
        <f>SUM(D119:D126)</f>
        <v>19307848.65</v>
      </c>
      <c r="E127" s="206">
        <f>SUM(E119:E126)</f>
        <v>19396560</v>
      </c>
      <c r="F127" s="143">
        <f>(+D127-E127)/E127</f>
        <v>-0.004573560981947391</v>
      </c>
      <c r="G127" s="217">
        <f>D127/C127</f>
        <v>0.18869861935722854</v>
      </c>
      <c r="H127" s="123"/>
    </row>
    <row r="128" spans="1:8" ht="15.75" customHeight="1" thickTop="1">
      <c r="A128" s="130"/>
      <c r="B128" s="134"/>
      <c r="C128" s="204"/>
      <c r="D128" s="204"/>
      <c r="E128" s="204"/>
      <c r="F128" s="132"/>
      <c r="G128" s="218"/>
      <c r="H128" s="123"/>
    </row>
    <row r="129" spans="1:8" ht="15.75">
      <c r="A129" s="130" t="s">
        <v>64</v>
      </c>
      <c r="B129" s="131">
        <f>DATE(2015,7,1)</f>
        <v>42186</v>
      </c>
      <c r="C129" s="204">
        <v>1011302</v>
      </c>
      <c r="D129" s="204">
        <v>269248.5</v>
      </c>
      <c r="E129" s="204">
        <v>209226.5</v>
      </c>
      <c r="F129" s="132">
        <f aca="true" t="shared" si="24" ref="F129:F135">(+D129-E129)/E129</f>
        <v>0.2868757064712166</v>
      </c>
      <c r="G129" s="215">
        <f aca="true" t="shared" si="25" ref="G129:G135">D129/C129</f>
        <v>0.26623946160494094</v>
      </c>
      <c r="H129" s="123"/>
    </row>
    <row r="130" spans="1:8" ht="15.75">
      <c r="A130" s="130"/>
      <c r="B130" s="131">
        <f>DATE(2015,8,1)</f>
        <v>42217</v>
      </c>
      <c r="C130" s="204">
        <v>919958</v>
      </c>
      <c r="D130" s="204">
        <v>235920</v>
      </c>
      <c r="E130" s="204">
        <v>218501</v>
      </c>
      <c r="F130" s="132">
        <f t="shared" si="24"/>
        <v>0.07972045894526798</v>
      </c>
      <c r="G130" s="215">
        <f t="shared" si="25"/>
        <v>0.25644648994845415</v>
      </c>
      <c r="H130" s="123"/>
    </row>
    <row r="131" spans="1:8" ht="15.75">
      <c r="A131" s="130"/>
      <c r="B131" s="131">
        <f>DATE(2015,9,1)</f>
        <v>42248</v>
      </c>
      <c r="C131" s="204">
        <v>836836</v>
      </c>
      <c r="D131" s="204">
        <v>195216</v>
      </c>
      <c r="E131" s="204">
        <v>191716</v>
      </c>
      <c r="F131" s="132">
        <f t="shared" si="24"/>
        <v>0.01825617058565795</v>
      </c>
      <c r="G131" s="215">
        <f t="shared" si="25"/>
        <v>0.2332786830394486</v>
      </c>
      <c r="H131" s="123"/>
    </row>
    <row r="132" spans="1:8" ht="15.75">
      <c r="A132" s="130"/>
      <c r="B132" s="131">
        <f>DATE(2015,10,1)</f>
        <v>42278</v>
      </c>
      <c r="C132" s="204">
        <v>931644</v>
      </c>
      <c r="D132" s="204">
        <v>237963</v>
      </c>
      <c r="E132" s="204">
        <v>199376.5</v>
      </c>
      <c r="F132" s="132">
        <f t="shared" si="24"/>
        <v>0.1935358480061592</v>
      </c>
      <c r="G132" s="215">
        <f t="shared" si="25"/>
        <v>0.25542267217950204</v>
      </c>
      <c r="H132" s="123"/>
    </row>
    <row r="133" spans="1:8" ht="15.75">
      <c r="A133" s="130"/>
      <c r="B133" s="131">
        <f>DATE(2015,11,1)</f>
        <v>42309</v>
      </c>
      <c r="C133" s="204">
        <v>914049</v>
      </c>
      <c r="D133" s="204">
        <v>203084</v>
      </c>
      <c r="E133" s="204">
        <v>212572.5</v>
      </c>
      <c r="F133" s="132">
        <f t="shared" si="24"/>
        <v>-0.044636535770149005</v>
      </c>
      <c r="G133" s="215">
        <f t="shared" si="25"/>
        <v>0.22218064895864445</v>
      </c>
      <c r="H133" s="123"/>
    </row>
    <row r="134" spans="1:8" ht="15.75">
      <c r="A134" s="130"/>
      <c r="B134" s="131">
        <f>DATE(2015,12,1)</f>
        <v>42339</v>
      </c>
      <c r="C134" s="204">
        <v>1014496</v>
      </c>
      <c r="D134" s="204">
        <v>257359.5</v>
      </c>
      <c r="E134" s="204">
        <v>242239</v>
      </c>
      <c r="F134" s="132">
        <f t="shared" si="24"/>
        <v>0.06241975899834461</v>
      </c>
      <c r="G134" s="215">
        <f t="shared" si="25"/>
        <v>0.25368212393148915</v>
      </c>
      <c r="H134" s="123"/>
    </row>
    <row r="135" spans="1:8" ht="15.75">
      <c r="A135" s="130"/>
      <c r="B135" s="131">
        <f>DATE(2016,1,1)</f>
        <v>42370</v>
      </c>
      <c r="C135" s="204">
        <v>914636</v>
      </c>
      <c r="D135" s="204">
        <v>255400.5</v>
      </c>
      <c r="E135" s="204">
        <v>226033.5</v>
      </c>
      <c r="F135" s="132">
        <f t="shared" si="24"/>
        <v>0.12992321934580495</v>
      </c>
      <c r="G135" s="215">
        <f t="shared" si="25"/>
        <v>0.27923731407904345</v>
      </c>
      <c r="H135" s="123"/>
    </row>
    <row r="136" spans="1:8" ht="15.75" thickBot="1">
      <c r="A136" s="133"/>
      <c r="B136" s="134"/>
      <c r="C136" s="204"/>
      <c r="D136" s="204"/>
      <c r="E136" s="204"/>
      <c r="F136" s="132"/>
      <c r="G136" s="215"/>
      <c r="H136" s="123"/>
    </row>
    <row r="137" spans="1:8" ht="17.25" thickBot="1" thickTop="1">
      <c r="A137" s="135" t="s">
        <v>14</v>
      </c>
      <c r="B137" s="136"/>
      <c r="C137" s="201">
        <f>SUM(C129:C136)</f>
        <v>6542921</v>
      </c>
      <c r="D137" s="207">
        <f>SUM(D129:D136)</f>
        <v>1654191.5</v>
      </c>
      <c r="E137" s="207">
        <f>SUM(E129:E136)</f>
        <v>1499665</v>
      </c>
      <c r="F137" s="143">
        <f>(+D137-E137)/E137</f>
        <v>0.10304067908499565</v>
      </c>
      <c r="G137" s="217">
        <f>D137/C137</f>
        <v>0.2528215608900062</v>
      </c>
      <c r="H137" s="123"/>
    </row>
    <row r="138" spans="1:8" ht="16.5" thickBot="1" thickTop="1">
      <c r="A138" s="146"/>
      <c r="B138" s="139"/>
      <c r="C138" s="205"/>
      <c r="D138" s="205"/>
      <c r="E138" s="205"/>
      <c r="F138" s="140"/>
      <c r="G138" s="216"/>
      <c r="H138" s="123"/>
    </row>
    <row r="139" spans="1:8" ht="17.25" thickBot="1" thickTop="1">
      <c r="A139" s="147" t="s">
        <v>41</v>
      </c>
      <c r="B139" s="121"/>
      <c r="C139" s="201">
        <f>C137+C127+C97+C77+C57+C37+C17+C47+C117+C27+C87+C107+C67</f>
        <v>646472393.46</v>
      </c>
      <c r="D139" s="201">
        <f>D137+D127+D97+D77+D57+D37+D17+D47+D117+D27+D87+D107+D67</f>
        <v>132245555.75999999</v>
      </c>
      <c r="E139" s="201">
        <f>E137+E127+E97+E77+E57+E37+E17+E47+E117+E27+E87+E107+E67</f>
        <v>122945791.13000001</v>
      </c>
      <c r="F139" s="137">
        <f>(+D139-E139)/E139</f>
        <v>0.07564117929150276</v>
      </c>
      <c r="G139" s="212">
        <f>D139/C139</f>
        <v>0.20456489263556243</v>
      </c>
      <c r="H139" s="123"/>
    </row>
    <row r="140" spans="1:8" ht="17.25" thickBot="1" thickTop="1">
      <c r="A140" s="147"/>
      <c r="B140" s="121"/>
      <c r="C140" s="201"/>
      <c r="D140" s="201"/>
      <c r="E140" s="201"/>
      <c r="F140" s="137"/>
      <c r="G140" s="212"/>
      <c r="H140" s="123"/>
    </row>
    <row r="141" spans="1:8" ht="17.25" thickBot="1" thickTop="1">
      <c r="A141" s="265" t="s">
        <v>42</v>
      </c>
      <c r="B141" s="266"/>
      <c r="C141" s="206">
        <f>+C15+C25+C35+C45+C55+C65+C75+C85+C95+C105+C115+C125+C135</f>
        <v>90540028.5</v>
      </c>
      <c r="D141" s="206">
        <f>+D15+D25+D35+D45+D55+D65+D75+D85+D95+D105+D115+D125+D135</f>
        <v>19067406.07</v>
      </c>
      <c r="E141" s="206">
        <f>+E15+E25+E35+E45+E55+E65+E75+E85+E95+E105+E115+E125+E135</f>
        <v>17113248.94</v>
      </c>
      <c r="F141" s="143">
        <f>(+D141-E141)/E141</f>
        <v>0.1141897214755294</v>
      </c>
      <c r="G141" s="217">
        <f>D141/C141</f>
        <v>0.21059642222224395</v>
      </c>
      <c r="H141" s="123"/>
    </row>
    <row r="142" spans="1:8" ht="16.5" thickTop="1">
      <c r="A142" s="256"/>
      <c r="B142" s="258"/>
      <c r="C142" s="259"/>
      <c r="D142" s="259"/>
      <c r="E142" s="259"/>
      <c r="F142" s="260"/>
      <c r="G142" s="257"/>
      <c r="H142" s="257"/>
    </row>
    <row r="143" spans="1:7" ht="18.75">
      <c r="A143" s="263" t="s">
        <v>43</v>
      </c>
      <c r="B143" s="117"/>
      <c r="C143" s="208"/>
      <c r="D143" s="208"/>
      <c r="E143" s="208"/>
      <c r="F143" s="148"/>
      <c r="G143" s="220"/>
    </row>
    <row r="144" ht="15.75">
      <c r="A144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4" r:id="rId1"/>
  <rowBreaks count="2" manualBreakCount="2">
    <brk id="57" max="7" man="1"/>
    <brk id="10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46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DATE(15,7,1)</f>
        <v>5661</v>
      </c>
      <c r="C10" s="226">
        <v>119529048.18</v>
      </c>
      <c r="D10" s="226">
        <v>11621705.25</v>
      </c>
      <c r="E10" s="226">
        <v>10257059.81</v>
      </c>
      <c r="F10" s="166">
        <f aca="true" t="shared" si="0" ref="F10:F16">(+D10-E10)/E10</f>
        <v>0.13304450449528962</v>
      </c>
      <c r="G10" s="241">
        <f aca="true" t="shared" si="1" ref="G10:G16">D10/C10</f>
        <v>0.0972291290440024</v>
      </c>
      <c r="H10" s="242">
        <f aca="true" t="shared" si="2" ref="H10:H16">1-G10</f>
        <v>0.9027708709559976</v>
      </c>
      <c r="I10" s="157"/>
    </row>
    <row r="11" spans="1:9" ht="15.75">
      <c r="A11" s="164"/>
      <c r="B11" s="165">
        <f>DATE(15,8,1)</f>
        <v>5692</v>
      </c>
      <c r="C11" s="226">
        <v>110869124.62</v>
      </c>
      <c r="D11" s="226">
        <v>10817172.85</v>
      </c>
      <c r="E11" s="226">
        <v>11078022.28</v>
      </c>
      <c r="F11" s="166">
        <f t="shared" si="0"/>
        <v>-0.023546570263803416</v>
      </c>
      <c r="G11" s="241">
        <f t="shared" si="1"/>
        <v>0.09756704481139791</v>
      </c>
      <c r="H11" s="242">
        <f t="shared" si="2"/>
        <v>0.9024329551886021</v>
      </c>
      <c r="I11" s="157"/>
    </row>
    <row r="12" spans="1:9" ht="15.75">
      <c r="A12" s="164"/>
      <c r="B12" s="165">
        <f>DATE(15,9,1)</f>
        <v>5723</v>
      </c>
      <c r="C12" s="226">
        <v>109353678.58</v>
      </c>
      <c r="D12" s="226">
        <v>10632629.7</v>
      </c>
      <c r="E12" s="226">
        <v>9537974.07</v>
      </c>
      <c r="F12" s="166">
        <f t="shared" si="0"/>
        <v>0.11476814908136974</v>
      </c>
      <c r="G12" s="241">
        <f t="shared" si="1"/>
        <v>0.09723156859530312</v>
      </c>
      <c r="H12" s="242">
        <f t="shared" si="2"/>
        <v>0.9027684314046969</v>
      </c>
      <c r="I12" s="157"/>
    </row>
    <row r="13" spans="1:9" ht="15.75">
      <c r="A13" s="164"/>
      <c r="B13" s="165">
        <f>DATE(15,10,1)</f>
        <v>5753</v>
      </c>
      <c r="C13" s="226">
        <v>114741480.6</v>
      </c>
      <c r="D13" s="226">
        <v>11126596.65</v>
      </c>
      <c r="E13" s="226">
        <v>10436933.78</v>
      </c>
      <c r="F13" s="166">
        <f t="shared" si="0"/>
        <v>0.06607906924939799</v>
      </c>
      <c r="G13" s="241">
        <f t="shared" si="1"/>
        <v>0.09697100466036693</v>
      </c>
      <c r="H13" s="242">
        <f t="shared" si="2"/>
        <v>0.9030289953396331</v>
      </c>
      <c r="I13" s="157"/>
    </row>
    <row r="14" spans="1:9" ht="15.75">
      <c r="A14" s="164"/>
      <c r="B14" s="165">
        <f>DATE(15,11,1)</f>
        <v>5784</v>
      </c>
      <c r="C14" s="226">
        <v>106190479.7</v>
      </c>
      <c r="D14" s="226">
        <v>10298598.03</v>
      </c>
      <c r="E14" s="226">
        <v>10672606.66</v>
      </c>
      <c r="F14" s="166">
        <f t="shared" si="0"/>
        <v>-0.035043794071578836</v>
      </c>
      <c r="G14" s="241">
        <f t="shared" si="1"/>
        <v>0.09698231008179539</v>
      </c>
      <c r="H14" s="242">
        <f t="shared" si="2"/>
        <v>0.9030176899182046</v>
      </c>
      <c r="I14" s="157"/>
    </row>
    <row r="15" spans="1:9" ht="15.75">
      <c r="A15" s="164"/>
      <c r="B15" s="165">
        <f>DATE(15,12,1)</f>
        <v>5814</v>
      </c>
      <c r="C15" s="226">
        <v>116600292.33</v>
      </c>
      <c r="D15" s="226">
        <v>11644407.53</v>
      </c>
      <c r="E15" s="226">
        <v>10862879.38</v>
      </c>
      <c r="F15" s="166">
        <f t="shared" si="0"/>
        <v>0.07194484285988624</v>
      </c>
      <c r="G15" s="241">
        <f t="shared" si="1"/>
        <v>0.09986602346625523</v>
      </c>
      <c r="H15" s="242">
        <f t="shared" si="2"/>
        <v>0.9001339765337448</v>
      </c>
      <c r="I15" s="157"/>
    </row>
    <row r="16" spans="1:9" ht="15.75">
      <c r="A16" s="164"/>
      <c r="B16" s="165">
        <f>DATE(16,1,1)</f>
        <v>5845</v>
      </c>
      <c r="C16" s="226">
        <v>113799521.63</v>
      </c>
      <c r="D16" s="226">
        <v>11283801.89</v>
      </c>
      <c r="E16" s="226">
        <v>10668353.86</v>
      </c>
      <c r="F16" s="166">
        <f t="shared" si="0"/>
        <v>0.057689127870754864</v>
      </c>
      <c r="G16" s="241">
        <f t="shared" si="1"/>
        <v>0.09915509071019986</v>
      </c>
      <c r="H16" s="242">
        <f t="shared" si="2"/>
        <v>0.9008449092898001</v>
      </c>
      <c r="I16" s="157"/>
    </row>
    <row r="17" spans="1:9" ht="15.75" thickBot="1">
      <c r="A17" s="167"/>
      <c r="B17" s="168"/>
      <c r="C17" s="226"/>
      <c r="D17" s="226"/>
      <c r="E17" s="226"/>
      <c r="F17" s="166"/>
      <c r="G17" s="241"/>
      <c r="H17" s="242"/>
      <c r="I17" s="157"/>
    </row>
    <row r="18" spans="1:9" ht="17.25" thickBot="1" thickTop="1">
      <c r="A18" s="169" t="s">
        <v>14</v>
      </c>
      <c r="B18" s="155"/>
      <c r="C18" s="223">
        <f>SUM(C10:C17)</f>
        <v>791083625.6400001</v>
      </c>
      <c r="D18" s="223">
        <f>SUM(D10:D17)</f>
        <v>77424911.9</v>
      </c>
      <c r="E18" s="223">
        <f>SUM(E10:E17)</f>
        <v>73513829.84</v>
      </c>
      <c r="F18" s="170">
        <f>(+D18-E18)/E18</f>
        <v>0.053201990271930066</v>
      </c>
      <c r="G18" s="236">
        <f>D18/C18</f>
        <v>0.09787196876608581</v>
      </c>
      <c r="H18" s="237">
        <f>1-G18</f>
        <v>0.9021280312339142</v>
      </c>
      <c r="I18" s="157"/>
    </row>
    <row r="19" spans="1:9" ht="15.75" thickTop="1">
      <c r="A19" s="171"/>
      <c r="B19" s="172"/>
      <c r="C19" s="227"/>
      <c r="D19" s="227"/>
      <c r="E19" s="227"/>
      <c r="F19" s="173"/>
      <c r="G19" s="243"/>
      <c r="H19" s="244"/>
      <c r="I19" s="157"/>
    </row>
    <row r="20" spans="1:9" ht="15.75">
      <c r="A20" s="19" t="s">
        <v>51</v>
      </c>
      <c r="B20" s="165">
        <f>DATE(15,7,1)</f>
        <v>5661</v>
      </c>
      <c r="C20" s="226">
        <v>72046869.77</v>
      </c>
      <c r="D20" s="226">
        <v>6594609.95</v>
      </c>
      <c r="E20" s="226">
        <v>6282867.11</v>
      </c>
      <c r="F20" s="166">
        <f aca="true" t="shared" si="3" ref="F20:F26">(+D20-E20)/E20</f>
        <v>0.0496179267430025</v>
      </c>
      <c r="G20" s="241">
        <f aca="true" t="shared" si="4" ref="G20:G26">D20/C20</f>
        <v>0.0915322202207037</v>
      </c>
      <c r="H20" s="242">
        <f aca="true" t="shared" si="5" ref="H20:H26">1-G20</f>
        <v>0.9084677797792963</v>
      </c>
      <c r="I20" s="157"/>
    </row>
    <row r="21" spans="1:9" ht="15.75">
      <c r="A21" s="19"/>
      <c r="B21" s="165">
        <f>DATE(15,8,1)</f>
        <v>5692</v>
      </c>
      <c r="C21" s="226">
        <v>68689813.83</v>
      </c>
      <c r="D21" s="226">
        <v>6431397.79</v>
      </c>
      <c r="E21" s="226">
        <v>6628156.87</v>
      </c>
      <c r="F21" s="166">
        <f t="shared" si="3"/>
        <v>-0.029685338452166126</v>
      </c>
      <c r="G21" s="241">
        <f t="shared" si="4"/>
        <v>0.09362957084025628</v>
      </c>
      <c r="H21" s="242">
        <f t="shared" si="5"/>
        <v>0.9063704291597438</v>
      </c>
      <c r="I21" s="157"/>
    </row>
    <row r="22" spans="1:9" ht="15.75">
      <c r="A22" s="19"/>
      <c r="B22" s="165">
        <f>DATE(15,9,1)</f>
        <v>5723</v>
      </c>
      <c r="C22" s="226">
        <v>62321018.3</v>
      </c>
      <c r="D22" s="226">
        <v>5883042.82</v>
      </c>
      <c r="E22" s="226">
        <v>6002003.73</v>
      </c>
      <c r="F22" s="166">
        <f t="shared" si="3"/>
        <v>-0.019820199278683243</v>
      </c>
      <c r="G22" s="241">
        <f t="shared" si="4"/>
        <v>0.09439901626254397</v>
      </c>
      <c r="H22" s="242">
        <f t="shared" si="5"/>
        <v>0.905600983737456</v>
      </c>
      <c r="I22" s="157"/>
    </row>
    <row r="23" spans="1:9" ht="15.75">
      <c r="A23" s="19"/>
      <c r="B23" s="165">
        <f>DATE(15,10,1)</f>
        <v>5753</v>
      </c>
      <c r="C23" s="226">
        <v>62573581.97</v>
      </c>
      <c r="D23" s="226">
        <v>6191302.27</v>
      </c>
      <c r="E23" s="226">
        <v>5911302.22</v>
      </c>
      <c r="F23" s="166">
        <f t="shared" si="3"/>
        <v>0.047366898118093484</v>
      </c>
      <c r="G23" s="241">
        <f t="shared" si="4"/>
        <v>0.09894434799926158</v>
      </c>
      <c r="H23" s="242">
        <f t="shared" si="5"/>
        <v>0.9010556520007384</v>
      </c>
      <c r="I23" s="157"/>
    </row>
    <row r="24" spans="1:9" ht="15.75">
      <c r="A24" s="19"/>
      <c r="B24" s="165">
        <f>DATE(15,11,1)</f>
        <v>5784</v>
      </c>
      <c r="C24" s="226">
        <v>61132103.77</v>
      </c>
      <c r="D24" s="226">
        <v>5817798.12</v>
      </c>
      <c r="E24" s="226">
        <v>5713594.45</v>
      </c>
      <c r="F24" s="166">
        <f t="shared" si="3"/>
        <v>0.018237848505330986</v>
      </c>
      <c r="G24" s="241">
        <f t="shared" si="4"/>
        <v>0.09516764124278394</v>
      </c>
      <c r="H24" s="242">
        <f t="shared" si="5"/>
        <v>0.904832358757216</v>
      </c>
      <c r="I24" s="157"/>
    </row>
    <row r="25" spans="1:9" ht="15.75">
      <c r="A25" s="19"/>
      <c r="B25" s="165">
        <f>DATE(15,12,1)</f>
        <v>5814</v>
      </c>
      <c r="C25" s="226">
        <v>63427012.27</v>
      </c>
      <c r="D25" s="226">
        <v>6088776.8</v>
      </c>
      <c r="E25" s="226">
        <v>5850589.71</v>
      </c>
      <c r="F25" s="166">
        <f t="shared" si="3"/>
        <v>0.04071163793846003</v>
      </c>
      <c r="G25" s="241">
        <f t="shared" si="4"/>
        <v>0.09599658855253848</v>
      </c>
      <c r="H25" s="242">
        <f t="shared" si="5"/>
        <v>0.9040034114474615</v>
      </c>
      <c r="I25" s="157"/>
    </row>
    <row r="26" spans="1:9" ht="15.75">
      <c r="A26" s="19"/>
      <c r="B26" s="165">
        <f>DATE(16,1,1)</f>
        <v>5845</v>
      </c>
      <c r="C26" s="226">
        <v>62285246.98</v>
      </c>
      <c r="D26" s="226">
        <v>6038903.65</v>
      </c>
      <c r="E26" s="226">
        <v>6478436.21</v>
      </c>
      <c r="F26" s="166">
        <f t="shared" si="3"/>
        <v>-0.06784547161574962</v>
      </c>
      <c r="G26" s="241">
        <f t="shared" si="4"/>
        <v>0.09695560253520569</v>
      </c>
      <c r="H26" s="242">
        <f t="shared" si="5"/>
        <v>0.9030443974647944</v>
      </c>
      <c r="I26" s="157"/>
    </row>
    <row r="27" spans="1:9" ht="15.75" thickBot="1">
      <c r="A27" s="167"/>
      <c r="B27" s="165"/>
      <c r="C27" s="226"/>
      <c r="D27" s="226"/>
      <c r="E27" s="226"/>
      <c r="F27" s="166"/>
      <c r="G27" s="241"/>
      <c r="H27" s="242"/>
      <c r="I27" s="157"/>
    </row>
    <row r="28" spans="1:9" ht="17.25" thickBot="1" thickTop="1">
      <c r="A28" s="169" t="s">
        <v>14</v>
      </c>
      <c r="B28" s="155"/>
      <c r="C28" s="223">
        <f>SUM(C20:C27)</f>
        <v>452475646.89</v>
      </c>
      <c r="D28" s="223">
        <f>SUM(D20:D27)</f>
        <v>43045831.4</v>
      </c>
      <c r="E28" s="223">
        <f>SUM(E20:E27)</f>
        <v>42866950.3</v>
      </c>
      <c r="F28" s="170">
        <f>(+D28-E28)/E28</f>
        <v>0.004172937396948471</v>
      </c>
      <c r="G28" s="236">
        <f>D28/C28</f>
        <v>0.09513402919221582</v>
      </c>
      <c r="H28" s="237">
        <f>1-G28</f>
        <v>0.9048659708077842</v>
      </c>
      <c r="I28" s="157"/>
    </row>
    <row r="29" spans="1:9" ht="15.75" thickTop="1">
      <c r="A29" s="171"/>
      <c r="B29" s="172"/>
      <c r="C29" s="227"/>
      <c r="D29" s="227"/>
      <c r="E29" s="227"/>
      <c r="F29" s="173"/>
      <c r="G29" s="243"/>
      <c r="H29" s="244"/>
      <c r="I29" s="157"/>
    </row>
    <row r="30" spans="1:9" ht="15.75">
      <c r="A30" s="19" t="s">
        <v>60</v>
      </c>
      <c r="B30" s="165">
        <f>DATE(15,7,1)</f>
        <v>5661</v>
      </c>
      <c r="C30" s="226">
        <v>25487305.22</v>
      </c>
      <c r="D30" s="226">
        <v>2846303.55</v>
      </c>
      <c r="E30" s="226">
        <v>2494578.8</v>
      </c>
      <c r="F30" s="166">
        <f aca="true" t="shared" si="6" ref="F30:F36">(+D30-E30)/E30</f>
        <v>0.14099564623895627</v>
      </c>
      <c r="G30" s="241">
        <f aca="true" t="shared" si="7" ref="G30:G36">D30/C30</f>
        <v>0.11167534289841255</v>
      </c>
      <c r="H30" s="242">
        <f aca="true" t="shared" si="8" ref="H30:H36">1-G30</f>
        <v>0.8883246571015875</v>
      </c>
      <c r="I30" s="157"/>
    </row>
    <row r="31" spans="1:9" ht="15.75">
      <c r="A31" s="19"/>
      <c r="B31" s="165">
        <f>DATE(15,8,1)</f>
        <v>5692</v>
      </c>
      <c r="C31" s="226">
        <v>25567058.22</v>
      </c>
      <c r="D31" s="226">
        <v>2714078.62</v>
      </c>
      <c r="E31" s="226">
        <v>2704944.47</v>
      </c>
      <c r="F31" s="166">
        <f t="shared" si="6"/>
        <v>0.0033768345713950667</v>
      </c>
      <c r="G31" s="241">
        <f t="shared" si="7"/>
        <v>0.10615529548397142</v>
      </c>
      <c r="H31" s="242">
        <f t="shared" si="8"/>
        <v>0.8938447045160286</v>
      </c>
      <c r="I31" s="157"/>
    </row>
    <row r="32" spans="1:9" ht="15.75">
      <c r="A32" s="19"/>
      <c r="B32" s="165">
        <f>DATE(15,9,1)</f>
        <v>5723</v>
      </c>
      <c r="C32" s="226">
        <v>24789497.76</v>
      </c>
      <c r="D32" s="226">
        <v>2695425.84</v>
      </c>
      <c r="E32" s="226">
        <v>2315066.28</v>
      </c>
      <c r="F32" s="166">
        <f t="shared" si="6"/>
        <v>0.16429748179823175</v>
      </c>
      <c r="G32" s="241">
        <f t="shared" si="7"/>
        <v>0.10873257159527058</v>
      </c>
      <c r="H32" s="242">
        <f t="shared" si="8"/>
        <v>0.8912674284047294</v>
      </c>
      <c r="I32" s="157"/>
    </row>
    <row r="33" spans="1:9" ht="15.75">
      <c r="A33" s="19"/>
      <c r="B33" s="165">
        <f>DATE(15,10,1)</f>
        <v>5753</v>
      </c>
      <c r="C33" s="226">
        <v>24608249.39</v>
      </c>
      <c r="D33" s="226">
        <v>2767115.51</v>
      </c>
      <c r="E33" s="226">
        <v>2355316.74</v>
      </c>
      <c r="F33" s="166">
        <f t="shared" si="6"/>
        <v>0.17483795831213747</v>
      </c>
      <c r="G33" s="241">
        <f t="shared" si="7"/>
        <v>0.11244666234260721</v>
      </c>
      <c r="H33" s="242">
        <f t="shared" si="8"/>
        <v>0.8875533376573927</v>
      </c>
      <c r="I33" s="157"/>
    </row>
    <row r="34" spans="1:9" ht="15.75">
      <c r="A34" s="19"/>
      <c r="B34" s="165">
        <f>DATE(15,11,1)</f>
        <v>5784</v>
      </c>
      <c r="C34" s="226">
        <v>23754584.45</v>
      </c>
      <c r="D34" s="226">
        <v>2518266.09</v>
      </c>
      <c r="E34" s="226">
        <v>2510185.21</v>
      </c>
      <c r="F34" s="166">
        <f t="shared" si="6"/>
        <v>0.003219236559839299</v>
      </c>
      <c r="G34" s="241">
        <f t="shared" si="7"/>
        <v>0.10601179302044157</v>
      </c>
      <c r="H34" s="242">
        <f t="shared" si="8"/>
        <v>0.8939882069795584</v>
      </c>
      <c r="I34" s="157"/>
    </row>
    <row r="35" spans="1:9" ht="15.75">
      <c r="A35" s="19"/>
      <c r="B35" s="165">
        <f>DATE(15,12,1)</f>
        <v>5814</v>
      </c>
      <c r="C35" s="226">
        <v>25417283.46</v>
      </c>
      <c r="D35" s="226">
        <v>2694283.06</v>
      </c>
      <c r="E35" s="226">
        <v>2494340.17</v>
      </c>
      <c r="F35" s="166">
        <f t="shared" si="6"/>
        <v>0.0801586296868242</v>
      </c>
      <c r="G35" s="241">
        <f t="shared" si="7"/>
        <v>0.10600200702958994</v>
      </c>
      <c r="H35" s="242">
        <f t="shared" si="8"/>
        <v>0.89399799297041</v>
      </c>
      <c r="I35" s="157"/>
    </row>
    <row r="36" spans="1:9" ht="15.75">
      <c r="A36" s="19"/>
      <c r="B36" s="165">
        <f>DATE(16,1,1)</f>
        <v>5845</v>
      </c>
      <c r="C36" s="226">
        <v>22630065.13</v>
      </c>
      <c r="D36" s="226">
        <v>2432280.99</v>
      </c>
      <c r="E36" s="226">
        <v>2532118.3</v>
      </c>
      <c r="F36" s="166">
        <f t="shared" si="6"/>
        <v>-0.03942837504866956</v>
      </c>
      <c r="G36" s="241">
        <f t="shared" si="7"/>
        <v>0.10748007025289548</v>
      </c>
      <c r="H36" s="242">
        <f t="shared" si="8"/>
        <v>0.8925199297471045</v>
      </c>
      <c r="I36" s="157"/>
    </row>
    <row r="37" spans="1:9" ht="15.75" thickBot="1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Bot="1" thickTop="1">
      <c r="A38" s="174" t="s">
        <v>14</v>
      </c>
      <c r="B38" s="175"/>
      <c r="C38" s="228">
        <f>SUM(C30:C37)</f>
        <v>172254043.63</v>
      </c>
      <c r="D38" s="228">
        <f>SUM(D30:D37)</f>
        <v>18667753.66</v>
      </c>
      <c r="E38" s="228">
        <f>SUM(E30:E37)</f>
        <v>17406549.97</v>
      </c>
      <c r="F38" s="176">
        <f>(+D38-E38)/E38</f>
        <v>0.072455695825633</v>
      </c>
      <c r="G38" s="245">
        <f>D38/C38</f>
        <v>0.10837338425621028</v>
      </c>
      <c r="H38" s="246">
        <f>1-G38</f>
        <v>0.8916266157437898</v>
      </c>
      <c r="I38" s="157"/>
    </row>
    <row r="39" spans="1:9" ht="15.75" thickTop="1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>
      <c r="A40" s="177" t="s">
        <v>65</v>
      </c>
      <c r="B40" s="165">
        <f>DATE(15,7,1)</f>
        <v>5661</v>
      </c>
      <c r="C40" s="226">
        <v>188688863.95</v>
      </c>
      <c r="D40" s="226">
        <v>17969647.43</v>
      </c>
      <c r="E40" s="226">
        <v>16184356.72</v>
      </c>
      <c r="F40" s="166">
        <f aca="true" t="shared" si="9" ref="F40:F46">(+D40-E40)/E40</f>
        <v>0.11030964905721621</v>
      </c>
      <c r="G40" s="241">
        <f aca="true" t="shared" si="10" ref="G40:G46">D40/C40</f>
        <v>0.09523427643701175</v>
      </c>
      <c r="H40" s="242">
        <f aca="true" t="shared" si="11" ref="H40:H46">1-G40</f>
        <v>0.9047657235629882</v>
      </c>
      <c r="I40" s="157"/>
    </row>
    <row r="41" spans="1:9" ht="15.75">
      <c r="A41" s="177"/>
      <c r="B41" s="165">
        <f>DATE(15,8,1)</f>
        <v>5692</v>
      </c>
      <c r="C41" s="226">
        <v>181763351.77</v>
      </c>
      <c r="D41" s="226">
        <v>16973880.95</v>
      </c>
      <c r="E41" s="226">
        <v>16094086.53</v>
      </c>
      <c r="F41" s="166">
        <f t="shared" si="9"/>
        <v>0.05466569465499201</v>
      </c>
      <c r="G41" s="241">
        <f t="shared" si="10"/>
        <v>0.0933845067485245</v>
      </c>
      <c r="H41" s="242">
        <f t="shared" si="11"/>
        <v>0.9066154932514755</v>
      </c>
      <c r="I41" s="157"/>
    </row>
    <row r="42" spans="1:9" ht="15.75">
      <c r="A42" s="177"/>
      <c r="B42" s="165">
        <f>DATE(15,9,1)</f>
        <v>5723</v>
      </c>
      <c r="C42" s="226">
        <v>161254134.72</v>
      </c>
      <c r="D42" s="226">
        <v>15291033.73</v>
      </c>
      <c r="E42" s="226">
        <v>14708506.16</v>
      </c>
      <c r="F42" s="166">
        <f t="shared" si="9"/>
        <v>0.03960480851442226</v>
      </c>
      <c r="G42" s="241">
        <f t="shared" si="10"/>
        <v>0.09482568466570604</v>
      </c>
      <c r="H42" s="242">
        <f t="shared" si="11"/>
        <v>0.9051743153342939</v>
      </c>
      <c r="I42" s="157"/>
    </row>
    <row r="43" spans="1:9" ht="15.75">
      <c r="A43" s="177"/>
      <c r="B43" s="165">
        <f>DATE(15,10,1)</f>
        <v>5753</v>
      </c>
      <c r="C43" s="226">
        <v>172823474.75</v>
      </c>
      <c r="D43" s="226">
        <v>16128104.55</v>
      </c>
      <c r="E43" s="226">
        <v>15565657.96</v>
      </c>
      <c r="F43" s="166">
        <f t="shared" si="9"/>
        <v>0.0361338140312059</v>
      </c>
      <c r="G43" s="241">
        <f t="shared" si="10"/>
        <v>0.09332126074499032</v>
      </c>
      <c r="H43" s="242">
        <f t="shared" si="11"/>
        <v>0.9066787392550096</v>
      </c>
      <c r="I43" s="157"/>
    </row>
    <row r="44" spans="1:9" ht="15.75">
      <c r="A44" s="177"/>
      <c r="B44" s="165">
        <f>DATE(15,11,1)</f>
        <v>5784</v>
      </c>
      <c r="C44" s="226">
        <v>159885965.49</v>
      </c>
      <c r="D44" s="226">
        <v>15205454.65</v>
      </c>
      <c r="E44" s="226">
        <v>14902890.81</v>
      </c>
      <c r="F44" s="166">
        <f t="shared" si="9"/>
        <v>0.02030235904278224</v>
      </c>
      <c r="G44" s="241">
        <f t="shared" si="10"/>
        <v>0.09510187215869811</v>
      </c>
      <c r="H44" s="242">
        <f t="shared" si="11"/>
        <v>0.9048981278413019</v>
      </c>
      <c r="I44" s="157"/>
    </row>
    <row r="45" spans="1:9" ht="15.75">
      <c r="A45" s="177"/>
      <c r="B45" s="165">
        <f>DATE(15,12,1)</f>
        <v>5814</v>
      </c>
      <c r="C45" s="226">
        <v>170033876.28</v>
      </c>
      <c r="D45" s="226">
        <v>15547838.05</v>
      </c>
      <c r="E45" s="226">
        <v>15639270.65</v>
      </c>
      <c r="F45" s="166">
        <f t="shared" si="9"/>
        <v>-0.005846346805181713</v>
      </c>
      <c r="G45" s="241">
        <f t="shared" si="10"/>
        <v>0.09143964949900277</v>
      </c>
      <c r="H45" s="242">
        <f t="shared" si="11"/>
        <v>0.9085603505009973</v>
      </c>
      <c r="I45" s="157"/>
    </row>
    <row r="46" spans="1:9" ht="15.75">
      <c r="A46" s="177"/>
      <c r="B46" s="165">
        <f>DATE(16,1,1)</f>
        <v>5845</v>
      </c>
      <c r="C46" s="226">
        <v>174050567.85</v>
      </c>
      <c r="D46" s="226">
        <v>15969475.9</v>
      </c>
      <c r="E46" s="226">
        <v>15669252.65</v>
      </c>
      <c r="F46" s="166">
        <f t="shared" si="9"/>
        <v>0.019160023563727528</v>
      </c>
      <c r="G46" s="241">
        <f t="shared" si="10"/>
        <v>0.09175193219572136</v>
      </c>
      <c r="H46" s="242">
        <f t="shared" si="11"/>
        <v>0.9082480678042786</v>
      </c>
      <c r="I46" s="157"/>
    </row>
    <row r="47" spans="1:9" ht="15.75" thickBot="1">
      <c r="A47" s="167"/>
      <c r="B47" s="168"/>
      <c r="C47" s="226"/>
      <c r="D47" s="226"/>
      <c r="E47" s="226"/>
      <c r="F47" s="166"/>
      <c r="G47" s="241"/>
      <c r="H47" s="242"/>
      <c r="I47" s="157"/>
    </row>
    <row r="48" spans="1:9" ht="17.25" thickBot="1" thickTop="1">
      <c r="A48" s="174" t="s">
        <v>14</v>
      </c>
      <c r="B48" s="178"/>
      <c r="C48" s="228">
        <f>SUM(C40:C47)</f>
        <v>1208500234.81</v>
      </c>
      <c r="D48" s="228">
        <f>SUM(D40:D47)</f>
        <v>113085435.26</v>
      </c>
      <c r="E48" s="228">
        <f>SUM(E40:E47)</f>
        <v>108764021.48</v>
      </c>
      <c r="F48" s="176">
        <f>(+D48-E48)/E48</f>
        <v>0.039732015433013766</v>
      </c>
      <c r="G48" s="245">
        <f>D48/C48</f>
        <v>0.09357502133855958</v>
      </c>
      <c r="H48" s="246">
        <f>1-G48</f>
        <v>0.9064249786614405</v>
      </c>
      <c r="I48" s="157"/>
    </row>
    <row r="49" spans="1:9" ht="15.75" thickTop="1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>
      <c r="A50" s="164" t="s">
        <v>16</v>
      </c>
      <c r="B50" s="165">
        <f>DATE(15,7,1)</f>
        <v>5661</v>
      </c>
      <c r="C50" s="226">
        <v>120489743.99</v>
      </c>
      <c r="D50" s="226">
        <v>11588290.74</v>
      </c>
      <c r="E50" s="226">
        <v>11317531.22</v>
      </c>
      <c r="F50" s="166">
        <f aca="true" t="shared" si="12" ref="F50:F56">(+D50-E50)/E50</f>
        <v>0.023923903078926036</v>
      </c>
      <c r="G50" s="241">
        <f aca="true" t="shared" si="13" ref="G50:G56">D50/C50</f>
        <v>0.09617657367553015</v>
      </c>
      <c r="H50" s="242">
        <f aca="true" t="shared" si="14" ref="H50:H56">1-G50</f>
        <v>0.9038234263244699</v>
      </c>
      <c r="I50" s="157"/>
    </row>
    <row r="51" spans="1:9" ht="15.75">
      <c r="A51" s="164"/>
      <c r="B51" s="165">
        <f>DATE(15,8,1)</f>
        <v>5692</v>
      </c>
      <c r="C51" s="226">
        <v>114211300.63</v>
      </c>
      <c r="D51" s="226">
        <v>10887415.83</v>
      </c>
      <c r="E51" s="226">
        <v>12087387.41</v>
      </c>
      <c r="F51" s="166">
        <f t="shared" si="12"/>
        <v>-0.09927468519849486</v>
      </c>
      <c r="G51" s="241">
        <f t="shared" si="13"/>
        <v>0.09532695775237666</v>
      </c>
      <c r="H51" s="242">
        <f t="shared" si="14"/>
        <v>0.9046730422476233</v>
      </c>
      <c r="I51" s="157"/>
    </row>
    <row r="52" spans="1:9" ht="15.75">
      <c r="A52" s="164"/>
      <c r="B52" s="165">
        <f>DATE(15,9,1)</f>
        <v>5723</v>
      </c>
      <c r="C52" s="226">
        <v>109653487.8</v>
      </c>
      <c r="D52" s="226">
        <v>10449419.97</v>
      </c>
      <c r="E52" s="226">
        <v>11134793.77</v>
      </c>
      <c r="F52" s="166">
        <f t="shared" si="12"/>
        <v>-0.06155244669610068</v>
      </c>
      <c r="G52" s="241">
        <f t="shared" si="13"/>
        <v>0.09529491655622468</v>
      </c>
      <c r="H52" s="242">
        <f t="shared" si="14"/>
        <v>0.9047050834437753</v>
      </c>
      <c r="I52" s="157"/>
    </row>
    <row r="53" spans="1:9" ht="15.75">
      <c r="A53" s="164"/>
      <c r="B53" s="165">
        <f>DATE(15,10,1)</f>
        <v>5753</v>
      </c>
      <c r="C53" s="226">
        <v>124278726.06</v>
      </c>
      <c r="D53" s="226">
        <v>11800330.51</v>
      </c>
      <c r="E53" s="226">
        <v>11239699.89</v>
      </c>
      <c r="F53" s="166">
        <f t="shared" si="12"/>
        <v>0.04987950083069337</v>
      </c>
      <c r="G53" s="241">
        <f t="shared" si="13"/>
        <v>0.09495052680458736</v>
      </c>
      <c r="H53" s="242">
        <f t="shared" si="14"/>
        <v>0.9050494731954126</v>
      </c>
      <c r="I53" s="157"/>
    </row>
    <row r="54" spans="1:9" ht="15.75">
      <c r="A54" s="164"/>
      <c r="B54" s="165">
        <f>DATE(15,11,1)</f>
        <v>5784</v>
      </c>
      <c r="C54" s="226">
        <v>108004144.39</v>
      </c>
      <c r="D54" s="226">
        <v>10082963.93</v>
      </c>
      <c r="E54" s="226">
        <v>10996815.12</v>
      </c>
      <c r="F54" s="166">
        <f t="shared" si="12"/>
        <v>-0.08310144164722481</v>
      </c>
      <c r="G54" s="241">
        <f t="shared" si="13"/>
        <v>0.09335719464237126</v>
      </c>
      <c r="H54" s="242">
        <f t="shared" si="14"/>
        <v>0.9066428053576288</v>
      </c>
      <c r="I54" s="157"/>
    </row>
    <row r="55" spans="1:9" ht="15.75">
      <c r="A55" s="164"/>
      <c r="B55" s="165">
        <f>DATE(15,12,1)</f>
        <v>5814</v>
      </c>
      <c r="C55" s="226">
        <v>116106901.66</v>
      </c>
      <c r="D55" s="226">
        <v>11066344.65</v>
      </c>
      <c r="E55" s="226">
        <v>10967179.62</v>
      </c>
      <c r="F55" s="166">
        <f t="shared" si="12"/>
        <v>0.009041981023011748</v>
      </c>
      <c r="G55" s="241">
        <f t="shared" si="13"/>
        <v>0.09531168683155437</v>
      </c>
      <c r="H55" s="242">
        <f t="shared" si="14"/>
        <v>0.9046883131684457</v>
      </c>
      <c r="I55" s="157"/>
    </row>
    <row r="56" spans="1:9" ht="15.75">
      <c r="A56" s="164"/>
      <c r="B56" s="165">
        <f>DATE(16,1,1)</f>
        <v>5845</v>
      </c>
      <c r="C56" s="226">
        <v>105676521.39</v>
      </c>
      <c r="D56" s="226">
        <v>10499515.19</v>
      </c>
      <c r="E56" s="226">
        <v>11208885.08</v>
      </c>
      <c r="F56" s="166">
        <f t="shared" si="12"/>
        <v>-0.06328639154894436</v>
      </c>
      <c r="G56" s="241">
        <f t="shared" si="13"/>
        <v>0.09935523096233892</v>
      </c>
      <c r="H56" s="242">
        <f t="shared" si="14"/>
        <v>0.9006447690376611</v>
      </c>
      <c r="I56" s="157"/>
    </row>
    <row r="57" spans="1:9" ht="15.75" thickBot="1">
      <c r="A57" s="167"/>
      <c r="B57" s="165"/>
      <c r="C57" s="226"/>
      <c r="D57" s="226"/>
      <c r="E57" s="226"/>
      <c r="F57" s="166"/>
      <c r="G57" s="241"/>
      <c r="H57" s="242"/>
      <c r="I57" s="157"/>
    </row>
    <row r="58" spans="1:9" ht="17.25" thickBot="1" thickTop="1">
      <c r="A58" s="174" t="s">
        <v>14</v>
      </c>
      <c r="B58" s="175"/>
      <c r="C58" s="228">
        <f>SUM(C50:C57)</f>
        <v>798420825.92</v>
      </c>
      <c r="D58" s="230">
        <f>SUM(D50:D57)</f>
        <v>76374280.82</v>
      </c>
      <c r="E58" s="271">
        <f>SUM(E50:E57)</f>
        <v>78952292.11</v>
      </c>
      <c r="F58" s="272">
        <f>(+D58-E58)/E58</f>
        <v>-0.03265277322675068</v>
      </c>
      <c r="G58" s="249">
        <f>D58/C58</f>
        <v>0.09565667420059573</v>
      </c>
      <c r="H58" s="270">
        <f>1-G58</f>
        <v>0.9043433257994042</v>
      </c>
      <c r="I58" s="157"/>
    </row>
    <row r="59" spans="1:9" ht="15.75" thickTop="1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5.75">
      <c r="A60" s="164" t="s">
        <v>66</v>
      </c>
      <c r="B60" s="165">
        <f>DATE(15,7,1)</f>
        <v>5661</v>
      </c>
      <c r="C60" s="226">
        <v>48352097.83</v>
      </c>
      <c r="D60" s="226">
        <v>4898478.28</v>
      </c>
      <c r="E60" s="226">
        <v>4629796.15</v>
      </c>
      <c r="F60" s="166">
        <f aca="true" t="shared" si="15" ref="F60:F66">(+D60-E60)/E60</f>
        <v>0.058033252716752956</v>
      </c>
      <c r="G60" s="241">
        <f aca="true" t="shared" si="16" ref="G60:G66">D60/C60</f>
        <v>0.10130849538777913</v>
      </c>
      <c r="H60" s="242">
        <f aca="true" t="shared" si="17" ref="H60:H66">1-G60</f>
        <v>0.8986915046122209</v>
      </c>
      <c r="I60" s="157"/>
    </row>
    <row r="61" spans="1:9" ht="15.75">
      <c r="A61" s="164"/>
      <c r="B61" s="165">
        <f>DATE(15,8,1)</f>
        <v>5692</v>
      </c>
      <c r="C61" s="226">
        <v>48319229.49</v>
      </c>
      <c r="D61" s="226">
        <v>4722095.17</v>
      </c>
      <c r="E61" s="226">
        <v>5028824.28</v>
      </c>
      <c r="F61" s="166">
        <f t="shared" si="15"/>
        <v>-0.06099419922463473</v>
      </c>
      <c r="G61" s="241">
        <f t="shared" si="16"/>
        <v>0.097727037865479</v>
      </c>
      <c r="H61" s="242">
        <f t="shared" si="17"/>
        <v>0.902272962134521</v>
      </c>
      <c r="I61" s="157"/>
    </row>
    <row r="62" spans="1:9" ht="15.75">
      <c r="A62" s="164"/>
      <c r="B62" s="165">
        <f>DATE(15,9,1)</f>
        <v>5723</v>
      </c>
      <c r="C62" s="226">
        <v>45505726.4</v>
      </c>
      <c r="D62" s="226">
        <v>4560800.26</v>
      </c>
      <c r="E62" s="226">
        <v>4179634.68</v>
      </c>
      <c r="F62" s="166">
        <f t="shared" si="15"/>
        <v>0.09119590805960094</v>
      </c>
      <c r="G62" s="241">
        <f t="shared" si="16"/>
        <v>0.10022475457066872</v>
      </c>
      <c r="H62" s="242">
        <f t="shared" si="17"/>
        <v>0.8997752454293313</v>
      </c>
      <c r="I62" s="157"/>
    </row>
    <row r="63" spans="1:9" ht="15.75">
      <c r="A63" s="164"/>
      <c r="B63" s="165">
        <f>DATE(15,10,1)</f>
        <v>5753</v>
      </c>
      <c r="C63" s="226">
        <v>44542526.96</v>
      </c>
      <c r="D63" s="226">
        <v>4692084.33</v>
      </c>
      <c r="E63" s="226">
        <v>4484784.1</v>
      </c>
      <c r="F63" s="166">
        <f t="shared" si="15"/>
        <v>0.0462230121623916</v>
      </c>
      <c r="G63" s="241">
        <f t="shared" si="16"/>
        <v>0.10533942841216838</v>
      </c>
      <c r="H63" s="242">
        <f t="shared" si="17"/>
        <v>0.8946605715878316</v>
      </c>
      <c r="I63" s="157"/>
    </row>
    <row r="64" spans="1:9" ht="15.75">
      <c r="A64" s="164"/>
      <c r="B64" s="165">
        <f>DATE(15,11,1)</f>
        <v>5784</v>
      </c>
      <c r="C64" s="226">
        <v>45172662.67</v>
      </c>
      <c r="D64" s="226">
        <v>4220368.34</v>
      </c>
      <c r="E64" s="226">
        <v>4434332.43</v>
      </c>
      <c r="F64" s="166">
        <f t="shared" si="15"/>
        <v>-0.048251702680757264</v>
      </c>
      <c r="G64" s="241">
        <f t="shared" si="16"/>
        <v>0.09342748668217922</v>
      </c>
      <c r="H64" s="242">
        <f t="shared" si="17"/>
        <v>0.9065725133178207</v>
      </c>
      <c r="I64" s="157"/>
    </row>
    <row r="65" spans="1:9" ht="15.75">
      <c r="A65" s="164"/>
      <c r="B65" s="165">
        <f>DATE(15,12,1)</f>
        <v>5814</v>
      </c>
      <c r="C65" s="226">
        <v>47894690.21</v>
      </c>
      <c r="D65" s="226">
        <v>4871270.14</v>
      </c>
      <c r="E65" s="226">
        <v>4523055.2</v>
      </c>
      <c r="F65" s="166">
        <f t="shared" si="15"/>
        <v>0.07698666600398762</v>
      </c>
      <c r="G65" s="241">
        <f t="shared" si="16"/>
        <v>0.10170793711455973</v>
      </c>
      <c r="H65" s="242">
        <f t="shared" si="17"/>
        <v>0.8982920628854403</v>
      </c>
      <c r="I65" s="157"/>
    </row>
    <row r="66" spans="1:9" ht="15.75">
      <c r="A66" s="164"/>
      <c r="B66" s="165">
        <f>DATE(16,1,1)</f>
        <v>5845</v>
      </c>
      <c r="C66" s="226">
        <v>44017462.12</v>
      </c>
      <c r="D66" s="226">
        <v>4503625.18</v>
      </c>
      <c r="E66" s="226">
        <v>4705964.15</v>
      </c>
      <c r="F66" s="166">
        <f t="shared" si="15"/>
        <v>-0.0429962837689702</v>
      </c>
      <c r="G66" s="241">
        <f t="shared" si="16"/>
        <v>0.10231451253873425</v>
      </c>
      <c r="H66" s="242">
        <f t="shared" si="17"/>
        <v>0.8976854874612658</v>
      </c>
      <c r="I66" s="157"/>
    </row>
    <row r="67" spans="1:9" ht="15.75" thickBot="1">
      <c r="A67" s="167"/>
      <c r="B67" s="165"/>
      <c r="C67" s="226"/>
      <c r="D67" s="226"/>
      <c r="E67" s="226"/>
      <c r="F67" s="166"/>
      <c r="G67" s="241"/>
      <c r="H67" s="242"/>
      <c r="I67" s="157"/>
    </row>
    <row r="68" spans="1:9" ht="17.25" thickBot="1" thickTop="1">
      <c r="A68" s="174" t="s">
        <v>14</v>
      </c>
      <c r="B68" s="175"/>
      <c r="C68" s="228">
        <f>SUM(C60:C67)</f>
        <v>323804395.68</v>
      </c>
      <c r="D68" s="230">
        <f>SUM(D60:D67)</f>
        <v>32468721.7</v>
      </c>
      <c r="E68" s="271">
        <f>SUM(E60:E67)</f>
        <v>31986390.990000002</v>
      </c>
      <c r="F68" s="272">
        <f>(+D68-E68)/E68</f>
        <v>0.015079247613486299</v>
      </c>
      <c r="G68" s="249">
        <f>D68/C68</f>
        <v>0.10027264031365171</v>
      </c>
      <c r="H68" s="270">
        <f>1-G68</f>
        <v>0.8997273596863483</v>
      </c>
      <c r="I68" s="157"/>
    </row>
    <row r="69" spans="1:9" ht="15.7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>
      <c r="A70" s="164" t="s">
        <v>17</v>
      </c>
      <c r="B70" s="165">
        <f>DATE(15,7,1)</f>
        <v>5661</v>
      </c>
      <c r="C70" s="226">
        <v>58939783.88</v>
      </c>
      <c r="D70" s="226">
        <v>6466668.75</v>
      </c>
      <c r="E70" s="226">
        <v>6042752.33</v>
      </c>
      <c r="F70" s="166">
        <f aca="true" t="shared" si="18" ref="F70:F76">(+D70-E70)/E70</f>
        <v>0.07015287022362539</v>
      </c>
      <c r="G70" s="241">
        <f aca="true" t="shared" si="19" ref="G70:G76">D70/C70</f>
        <v>0.10971653311735896</v>
      </c>
      <c r="H70" s="242">
        <f aca="true" t="shared" si="20" ref="H70:H76">1-G70</f>
        <v>0.890283466882641</v>
      </c>
      <c r="I70" s="157"/>
    </row>
    <row r="71" spans="1:9" ht="15.75">
      <c r="A71" s="164"/>
      <c r="B71" s="165">
        <f>DATE(15,8,1)</f>
        <v>5692</v>
      </c>
      <c r="C71" s="226">
        <v>53237340.58</v>
      </c>
      <c r="D71" s="226">
        <v>6052086.67</v>
      </c>
      <c r="E71" s="226">
        <v>6053208.76</v>
      </c>
      <c r="F71" s="166">
        <f t="shared" si="18"/>
        <v>-0.00018537110555556837</v>
      </c>
      <c r="G71" s="241">
        <f t="shared" si="19"/>
        <v>0.11368123584057511</v>
      </c>
      <c r="H71" s="242">
        <f t="shared" si="20"/>
        <v>0.8863187641594249</v>
      </c>
      <c r="I71" s="157"/>
    </row>
    <row r="72" spans="1:9" ht="15.75">
      <c r="A72" s="164"/>
      <c r="B72" s="165">
        <f>DATE(15,9,1)</f>
        <v>5723</v>
      </c>
      <c r="C72" s="226">
        <v>50090480.17</v>
      </c>
      <c r="D72" s="226">
        <v>5516436.27</v>
      </c>
      <c r="E72" s="226">
        <v>5550911.7</v>
      </c>
      <c r="F72" s="166">
        <f t="shared" si="18"/>
        <v>-0.0062107689444962045</v>
      </c>
      <c r="G72" s="241">
        <f t="shared" si="19"/>
        <v>0.1101294348003452</v>
      </c>
      <c r="H72" s="242">
        <f t="shared" si="20"/>
        <v>0.8898705651996548</v>
      </c>
      <c r="I72" s="157"/>
    </row>
    <row r="73" spans="1:9" ht="15.75">
      <c r="A73" s="164"/>
      <c r="B73" s="165">
        <f>DATE(15,10,1)</f>
        <v>5753</v>
      </c>
      <c r="C73" s="226">
        <v>51893356.63</v>
      </c>
      <c r="D73" s="226">
        <v>5721215.5</v>
      </c>
      <c r="E73" s="226">
        <v>5944105.8</v>
      </c>
      <c r="F73" s="166">
        <f t="shared" si="18"/>
        <v>-0.03749770066340337</v>
      </c>
      <c r="G73" s="241">
        <f t="shared" si="19"/>
        <v>0.11024947838299046</v>
      </c>
      <c r="H73" s="242">
        <f t="shared" si="20"/>
        <v>0.8897505216170095</v>
      </c>
      <c r="I73" s="157"/>
    </row>
    <row r="74" spans="1:9" ht="15.75">
      <c r="A74" s="164"/>
      <c r="B74" s="165">
        <f>DATE(15,11,1)</f>
        <v>5784</v>
      </c>
      <c r="C74" s="226">
        <v>48754824.93</v>
      </c>
      <c r="D74" s="226">
        <v>5676052.34</v>
      </c>
      <c r="E74" s="226">
        <v>5844944.52</v>
      </c>
      <c r="F74" s="166">
        <f t="shared" si="18"/>
        <v>-0.0288954291049455</v>
      </c>
      <c r="G74" s="241">
        <f t="shared" si="19"/>
        <v>0.1164203204123781</v>
      </c>
      <c r="H74" s="242">
        <f t="shared" si="20"/>
        <v>0.8835796795876218</v>
      </c>
      <c r="I74" s="157"/>
    </row>
    <row r="75" spans="1:9" ht="15.75">
      <c r="A75" s="164"/>
      <c r="B75" s="165">
        <f>DATE(15,12,1)</f>
        <v>5814</v>
      </c>
      <c r="C75" s="226">
        <v>53996769.12</v>
      </c>
      <c r="D75" s="226">
        <v>6094017.4</v>
      </c>
      <c r="E75" s="226">
        <v>6290788.33</v>
      </c>
      <c r="F75" s="166">
        <f t="shared" si="18"/>
        <v>-0.0312792164793756</v>
      </c>
      <c r="G75" s="241">
        <f t="shared" si="19"/>
        <v>0.11285892654904832</v>
      </c>
      <c r="H75" s="242">
        <f t="shared" si="20"/>
        <v>0.8871410734509517</v>
      </c>
      <c r="I75" s="157"/>
    </row>
    <row r="76" spans="1:9" ht="15.75">
      <c r="A76" s="164"/>
      <c r="B76" s="165">
        <f>DATE(16,1,1)</f>
        <v>5845</v>
      </c>
      <c r="C76" s="226">
        <v>49987345.5</v>
      </c>
      <c r="D76" s="226">
        <v>5697537.44</v>
      </c>
      <c r="E76" s="226">
        <v>6008621.59</v>
      </c>
      <c r="F76" s="166">
        <f t="shared" si="18"/>
        <v>-0.05177296412170956</v>
      </c>
      <c r="G76" s="241">
        <f t="shared" si="19"/>
        <v>0.11397959589592531</v>
      </c>
      <c r="H76" s="242">
        <f t="shared" si="20"/>
        <v>0.8860204041040747</v>
      </c>
      <c r="I76" s="157"/>
    </row>
    <row r="77" spans="1:9" ht="15.75" thickBot="1">
      <c r="A77" s="167"/>
      <c r="B77" s="165"/>
      <c r="C77" s="226"/>
      <c r="D77" s="226"/>
      <c r="E77" s="226"/>
      <c r="F77" s="166"/>
      <c r="G77" s="241"/>
      <c r="H77" s="242"/>
      <c r="I77" s="157"/>
    </row>
    <row r="78" spans="1:9" ht="17.25" thickBot="1" thickTop="1">
      <c r="A78" s="174" t="s">
        <v>14</v>
      </c>
      <c r="B78" s="175"/>
      <c r="C78" s="228">
        <f>SUM(C70:C77)</f>
        <v>366899900.81</v>
      </c>
      <c r="D78" s="230">
        <f>SUM(D70:D77)</f>
        <v>41224014.37</v>
      </c>
      <c r="E78" s="271">
        <f>SUM(E70:E77)</f>
        <v>41735333.03</v>
      </c>
      <c r="F78" s="272">
        <f>(+D78-E78)/E78</f>
        <v>-0.012251457527185901</v>
      </c>
      <c r="G78" s="249">
        <f>D78/C78</f>
        <v>0.11235766016559365</v>
      </c>
      <c r="H78" s="270">
        <f>1-G78</f>
        <v>0.8876423398344063</v>
      </c>
      <c r="I78" s="157"/>
    </row>
    <row r="79" spans="1:9" ht="15.75" thickTop="1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>
      <c r="A80" s="164" t="s">
        <v>68</v>
      </c>
      <c r="B80" s="165">
        <f>DATE(15,7,1)</f>
        <v>5661</v>
      </c>
      <c r="C80" s="226">
        <v>99262509.49</v>
      </c>
      <c r="D80" s="226">
        <v>8907974.58</v>
      </c>
      <c r="E80" s="226">
        <v>9639064.75</v>
      </c>
      <c r="F80" s="166">
        <f aca="true" t="shared" si="21" ref="F80:F86">(+D80-E80)/E80</f>
        <v>-0.07584658770966342</v>
      </c>
      <c r="G80" s="241">
        <f aca="true" t="shared" si="22" ref="G80:G86">D80/C80</f>
        <v>0.0897415814466933</v>
      </c>
      <c r="H80" s="242">
        <f aca="true" t="shared" si="23" ref="H80:H86">1-G80</f>
        <v>0.9102584185533067</v>
      </c>
      <c r="I80" s="157"/>
    </row>
    <row r="81" spans="1:9" ht="15.75">
      <c r="A81" s="164"/>
      <c r="B81" s="165">
        <f>DATE(15,8,1)</f>
        <v>5692</v>
      </c>
      <c r="C81" s="226">
        <v>90824537.94</v>
      </c>
      <c r="D81" s="226">
        <v>8711749.16</v>
      </c>
      <c r="E81" s="226">
        <v>10229616.31</v>
      </c>
      <c r="F81" s="166">
        <f t="shared" si="21"/>
        <v>-0.14837967564005344</v>
      </c>
      <c r="G81" s="241">
        <f t="shared" si="22"/>
        <v>0.0959184528497696</v>
      </c>
      <c r="H81" s="242">
        <f t="shared" si="23"/>
        <v>0.9040815471502304</v>
      </c>
      <c r="I81" s="157"/>
    </row>
    <row r="82" spans="1:9" ht="15.75">
      <c r="A82" s="164"/>
      <c r="B82" s="165">
        <f>DATE(15,9,1)</f>
        <v>5723</v>
      </c>
      <c r="C82" s="226">
        <v>99718269.5</v>
      </c>
      <c r="D82" s="226">
        <v>9830409.27</v>
      </c>
      <c r="E82" s="226">
        <v>9028912.84</v>
      </c>
      <c r="F82" s="166">
        <f t="shared" si="21"/>
        <v>0.08876998196828309</v>
      </c>
      <c r="G82" s="241">
        <f t="shared" si="22"/>
        <v>0.09858182777630331</v>
      </c>
      <c r="H82" s="242">
        <f t="shared" si="23"/>
        <v>0.9014181722236967</v>
      </c>
      <c r="I82" s="157"/>
    </row>
    <row r="83" spans="1:9" ht="15.75">
      <c r="A83" s="164"/>
      <c r="B83" s="165">
        <f>DATE(15,10,1)</f>
        <v>5753</v>
      </c>
      <c r="C83" s="226">
        <v>97189498.88</v>
      </c>
      <c r="D83" s="226">
        <v>9686593.04</v>
      </c>
      <c r="E83" s="226">
        <v>9235960.54</v>
      </c>
      <c r="F83" s="166">
        <f t="shared" si="21"/>
        <v>0.048791081127767574</v>
      </c>
      <c r="G83" s="241">
        <f t="shared" si="22"/>
        <v>0.09966707464928952</v>
      </c>
      <c r="H83" s="242">
        <f t="shared" si="23"/>
        <v>0.9003329253507105</v>
      </c>
      <c r="I83" s="157"/>
    </row>
    <row r="84" spans="1:9" ht="15.75">
      <c r="A84" s="164"/>
      <c r="B84" s="165">
        <f>DATE(15,11,1)</f>
        <v>5784</v>
      </c>
      <c r="C84" s="226">
        <v>84688702.34</v>
      </c>
      <c r="D84" s="226">
        <v>8407805.94</v>
      </c>
      <c r="E84" s="226">
        <v>8289760.87</v>
      </c>
      <c r="F84" s="166">
        <f t="shared" si="21"/>
        <v>0.01423986431589303</v>
      </c>
      <c r="G84" s="241">
        <f t="shared" si="22"/>
        <v>0.09927895584283668</v>
      </c>
      <c r="H84" s="242">
        <f t="shared" si="23"/>
        <v>0.9007210441571634</v>
      </c>
      <c r="I84" s="157"/>
    </row>
    <row r="85" spans="1:9" ht="15.75">
      <c r="A85" s="164"/>
      <c r="B85" s="165">
        <f>DATE(15,12,1)</f>
        <v>5814</v>
      </c>
      <c r="C85" s="226">
        <v>88832108.7</v>
      </c>
      <c r="D85" s="226">
        <v>8876744.26</v>
      </c>
      <c r="E85" s="226">
        <v>8425465.61</v>
      </c>
      <c r="F85" s="166">
        <f t="shared" si="21"/>
        <v>0.05356127137524456</v>
      </c>
      <c r="G85" s="241">
        <f t="shared" si="22"/>
        <v>0.09992720413716802</v>
      </c>
      <c r="H85" s="242">
        <f t="shared" si="23"/>
        <v>0.900072795862832</v>
      </c>
      <c r="I85" s="157"/>
    </row>
    <row r="86" spans="1:9" ht="15.75">
      <c r="A86" s="164"/>
      <c r="B86" s="165">
        <f>DATE(16,1,1)</f>
        <v>5845</v>
      </c>
      <c r="C86" s="226">
        <v>90354626.73</v>
      </c>
      <c r="D86" s="226">
        <v>8550317.84</v>
      </c>
      <c r="E86" s="226">
        <v>8451863.57</v>
      </c>
      <c r="F86" s="166">
        <f t="shared" si="21"/>
        <v>0.011648823858144643</v>
      </c>
      <c r="G86" s="241">
        <f t="shared" si="22"/>
        <v>0.09463065865514865</v>
      </c>
      <c r="H86" s="242">
        <f t="shared" si="23"/>
        <v>0.9053693413448514</v>
      </c>
      <c r="I86" s="157"/>
    </row>
    <row r="87" spans="1:9" ht="15.75" thickBot="1">
      <c r="A87" s="167"/>
      <c r="B87" s="165"/>
      <c r="C87" s="226"/>
      <c r="D87" s="226"/>
      <c r="E87" s="226"/>
      <c r="F87" s="166"/>
      <c r="G87" s="241"/>
      <c r="H87" s="242"/>
      <c r="I87" s="157"/>
    </row>
    <row r="88" spans="1:9" ht="17.25" thickBot="1" thickTop="1">
      <c r="A88" s="174" t="s">
        <v>14</v>
      </c>
      <c r="B88" s="175"/>
      <c r="C88" s="228">
        <f>SUM(C80:C87)</f>
        <v>650870253.58</v>
      </c>
      <c r="D88" s="230">
        <f>SUM(D80:D87)</f>
        <v>62971594.08999999</v>
      </c>
      <c r="E88" s="271">
        <f>SUM(E80:E87)</f>
        <v>63300644.489999995</v>
      </c>
      <c r="F88" s="176">
        <f>(+D88-E88)/E88</f>
        <v>-0.005198215636682628</v>
      </c>
      <c r="G88" s="249">
        <f>D88/C88</f>
        <v>0.0967498418365804</v>
      </c>
      <c r="H88" s="270">
        <f>1-G88</f>
        <v>0.9032501581634196</v>
      </c>
      <c r="I88" s="157"/>
    </row>
    <row r="89" spans="1:9" ht="15.75" thickTop="1">
      <c r="A89" s="167"/>
      <c r="B89" s="179"/>
      <c r="C89" s="229"/>
      <c r="D89" s="229"/>
      <c r="E89" s="229"/>
      <c r="F89" s="180"/>
      <c r="G89" s="247"/>
      <c r="H89" s="248"/>
      <c r="I89" s="157"/>
    </row>
    <row r="90" spans="1:9" ht="15.75">
      <c r="A90" s="164" t="s">
        <v>18</v>
      </c>
      <c r="B90" s="165">
        <f>DATE(15,7,1)</f>
        <v>5661</v>
      </c>
      <c r="C90" s="226">
        <v>160408761.56</v>
      </c>
      <c r="D90" s="226">
        <v>14747580.1</v>
      </c>
      <c r="E90" s="226">
        <v>15576345.16</v>
      </c>
      <c r="F90" s="166">
        <f aca="true" t="shared" si="24" ref="F90:F96">(+D90-E90)/E90</f>
        <v>-0.05320664452969791</v>
      </c>
      <c r="G90" s="241">
        <f aca="true" t="shared" si="25" ref="G90:G96">D90/C90</f>
        <v>0.09193749740710859</v>
      </c>
      <c r="H90" s="242">
        <f aca="true" t="shared" si="26" ref="H90:H96">1-G90</f>
        <v>0.9080625025928915</v>
      </c>
      <c r="I90" s="157"/>
    </row>
    <row r="91" spans="1:9" ht="15.75">
      <c r="A91" s="164"/>
      <c r="B91" s="165">
        <f>DATE(15,8,1)</f>
        <v>5692</v>
      </c>
      <c r="C91" s="226">
        <v>162276060.61</v>
      </c>
      <c r="D91" s="226">
        <v>14875834.11</v>
      </c>
      <c r="E91" s="226">
        <v>15506824.22</v>
      </c>
      <c r="F91" s="166">
        <f t="shared" si="24"/>
        <v>-0.04069112418171213</v>
      </c>
      <c r="G91" s="241">
        <f t="shared" si="25"/>
        <v>0.09166992379579184</v>
      </c>
      <c r="H91" s="242">
        <f t="shared" si="26"/>
        <v>0.9083300762042081</v>
      </c>
      <c r="I91" s="157"/>
    </row>
    <row r="92" spans="1:9" ht="15.75">
      <c r="A92" s="164"/>
      <c r="B92" s="165">
        <f>DATE(15,9,1)</f>
        <v>5723</v>
      </c>
      <c r="C92" s="226">
        <v>149694908.04</v>
      </c>
      <c r="D92" s="226">
        <v>13845452.77</v>
      </c>
      <c r="E92" s="226">
        <v>12960092.39</v>
      </c>
      <c r="F92" s="166">
        <f t="shared" si="24"/>
        <v>0.06831435713244934</v>
      </c>
      <c r="G92" s="241">
        <f t="shared" si="25"/>
        <v>0.09249114048889595</v>
      </c>
      <c r="H92" s="242">
        <f t="shared" si="26"/>
        <v>0.907508859511104</v>
      </c>
      <c r="I92" s="157"/>
    </row>
    <row r="93" spans="1:9" ht="15.75">
      <c r="A93" s="164"/>
      <c r="B93" s="165">
        <f>DATE(15,10,1)</f>
        <v>5753</v>
      </c>
      <c r="C93" s="226">
        <v>155456920.78</v>
      </c>
      <c r="D93" s="226">
        <v>13974369.84</v>
      </c>
      <c r="E93" s="226">
        <v>13690052.84</v>
      </c>
      <c r="F93" s="166">
        <f t="shared" si="24"/>
        <v>0.020768144821857387</v>
      </c>
      <c r="G93" s="241">
        <f t="shared" si="25"/>
        <v>0.08989223361613016</v>
      </c>
      <c r="H93" s="242">
        <f t="shared" si="26"/>
        <v>0.9101077663838698</v>
      </c>
      <c r="I93" s="157"/>
    </row>
    <row r="94" spans="1:9" ht="15.75">
      <c r="A94" s="164"/>
      <c r="B94" s="165">
        <f>DATE(15,11,1)</f>
        <v>5784</v>
      </c>
      <c r="C94" s="226">
        <v>146221684.11</v>
      </c>
      <c r="D94" s="226">
        <v>13139935.22</v>
      </c>
      <c r="E94" s="226">
        <v>12590815.7</v>
      </c>
      <c r="F94" s="166">
        <f t="shared" si="24"/>
        <v>0.043612704139573855</v>
      </c>
      <c r="G94" s="241">
        <f t="shared" si="25"/>
        <v>0.08986310956530262</v>
      </c>
      <c r="H94" s="242">
        <f t="shared" si="26"/>
        <v>0.9101368904346974</v>
      </c>
      <c r="I94" s="157"/>
    </row>
    <row r="95" spans="1:9" ht="15.75">
      <c r="A95" s="164"/>
      <c r="B95" s="165">
        <f>DATE(15,12,1)</f>
        <v>5814</v>
      </c>
      <c r="C95" s="226">
        <v>157103723.38</v>
      </c>
      <c r="D95" s="226">
        <v>14232617.64</v>
      </c>
      <c r="E95" s="226">
        <v>13628228.8</v>
      </c>
      <c r="F95" s="166">
        <f t="shared" si="24"/>
        <v>0.044348304454647824</v>
      </c>
      <c r="G95" s="241">
        <f t="shared" si="25"/>
        <v>0.09059376400376183</v>
      </c>
      <c r="H95" s="242">
        <f t="shared" si="26"/>
        <v>0.9094062359962382</v>
      </c>
      <c r="I95" s="157"/>
    </row>
    <row r="96" spans="1:9" ht="15.75">
      <c r="A96" s="164"/>
      <c r="B96" s="165">
        <f>DATE(16,1,1)</f>
        <v>5845</v>
      </c>
      <c r="C96" s="226">
        <v>157376541.31</v>
      </c>
      <c r="D96" s="226">
        <v>13927506.22</v>
      </c>
      <c r="E96" s="226">
        <v>14350682.71</v>
      </c>
      <c r="F96" s="166">
        <f t="shared" si="24"/>
        <v>-0.029488247949703308</v>
      </c>
      <c r="G96" s="241">
        <f t="shared" si="25"/>
        <v>0.08849798136410703</v>
      </c>
      <c r="H96" s="242">
        <f t="shared" si="26"/>
        <v>0.911502018635893</v>
      </c>
      <c r="I96" s="157"/>
    </row>
    <row r="97" spans="1:9" ht="15.75" customHeight="1" thickBot="1">
      <c r="A97" s="164"/>
      <c r="B97" s="165"/>
      <c r="C97" s="226"/>
      <c r="D97" s="226"/>
      <c r="E97" s="226"/>
      <c r="F97" s="166"/>
      <c r="G97" s="241"/>
      <c r="H97" s="242"/>
      <c r="I97" s="157"/>
    </row>
    <row r="98" spans="1:9" ht="17.25" thickBot="1" thickTop="1">
      <c r="A98" s="174" t="s">
        <v>14</v>
      </c>
      <c r="B98" s="181"/>
      <c r="C98" s="228">
        <f>SUM(C90:C97)</f>
        <v>1088538599.79</v>
      </c>
      <c r="D98" s="228">
        <f>SUM(D90:D97)</f>
        <v>98743295.9</v>
      </c>
      <c r="E98" s="228">
        <f>SUM(E90:E97)</f>
        <v>98303041.82</v>
      </c>
      <c r="F98" s="176">
        <f>(+D98-E98)/E98</f>
        <v>0.004478539746574173</v>
      </c>
      <c r="G98" s="245">
        <f>D98/C98</f>
        <v>0.09071180013189196</v>
      </c>
      <c r="H98" s="246">
        <f>1-G98</f>
        <v>0.909288199868108</v>
      </c>
      <c r="I98" s="157"/>
    </row>
    <row r="99" spans="1:9" ht="15.75" thickTop="1">
      <c r="A99" s="171"/>
      <c r="B99" s="172"/>
      <c r="C99" s="227"/>
      <c r="D99" s="227"/>
      <c r="E99" s="227"/>
      <c r="F99" s="173"/>
      <c r="G99" s="243"/>
      <c r="H99" s="244"/>
      <c r="I99" s="157"/>
    </row>
    <row r="100" spans="1:9" ht="15.75">
      <c r="A100" s="164" t="s">
        <v>58</v>
      </c>
      <c r="B100" s="165">
        <f>DATE(15,7,1)</f>
        <v>5661</v>
      </c>
      <c r="C100" s="226">
        <v>182387045.35</v>
      </c>
      <c r="D100" s="226">
        <v>16357063.57</v>
      </c>
      <c r="E100" s="226">
        <v>15819821.05</v>
      </c>
      <c r="F100" s="166">
        <f aca="true" t="shared" si="27" ref="F100:F106">(+D100-E100)/E100</f>
        <v>0.03396008831591679</v>
      </c>
      <c r="G100" s="241">
        <f aca="true" t="shared" si="28" ref="G100:G106">D100/C100</f>
        <v>0.08968325320809305</v>
      </c>
      <c r="H100" s="242">
        <f aca="true" t="shared" si="29" ref="H100:H106">1-G100</f>
        <v>0.910316746791907</v>
      </c>
      <c r="I100" s="157"/>
    </row>
    <row r="101" spans="1:9" ht="15.75">
      <c r="A101" s="164"/>
      <c r="B101" s="165">
        <f>DATE(15,8,1)</f>
        <v>5692</v>
      </c>
      <c r="C101" s="226">
        <v>188147645.95</v>
      </c>
      <c r="D101" s="226">
        <v>16828875.81</v>
      </c>
      <c r="E101" s="226">
        <v>17009683.77</v>
      </c>
      <c r="F101" s="166">
        <f t="shared" si="27"/>
        <v>-0.010629707315246631</v>
      </c>
      <c r="G101" s="241">
        <f t="shared" si="28"/>
        <v>0.08944505111943975</v>
      </c>
      <c r="H101" s="242">
        <f t="shared" si="29"/>
        <v>0.9105549488805602</v>
      </c>
      <c r="I101" s="157"/>
    </row>
    <row r="102" spans="1:9" ht="15.75">
      <c r="A102" s="164"/>
      <c r="B102" s="165">
        <f>DATE(15,9,1)</f>
        <v>5723</v>
      </c>
      <c r="C102" s="226">
        <v>174524929.56</v>
      </c>
      <c r="D102" s="226">
        <v>15428730.82</v>
      </c>
      <c r="E102" s="226">
        <v>14534184.86</v>
      </c>
      <c r="F102" s="166">
        <f t="shared" si="27"/>
        <v>0.06154772136288907</v>
      </c>
      <c r="G102" s="241">
        <f t="shared" si="28"/>
        <v>0.08840416586270988</v>
      </c>
      <c r="H102" s="242">
        <f t="shared" si="29"/>
        <v>0.9115958341372901</v>
      </c>
      <c r="I102" s="157"/>
    </row>
    <row r="103" spans="1:9" ht="15.75">
      <c r="A103" s="164"/>
      <c r="B103" s="165">
        <f>DATE(15,10,1)</f>
        <v>5753</v>
      </c>
      <c r="C103" s="226">
        <v>191173360.2</v>
      </c>
      <c r="D103" s="226">
        <v>17395367.65</v>
      </c>
      <c r="E103" s="226">
        <v>15429362.82</v>
      </c>
      <c r="F103" s="166">
        <f t="shared" si="27"/>
        <v>0.1274197031293868</v>
      </c>
      <c r="G103" s="241">
        <f t="shared" si="28"/>
        <v>0.09099263428650034</v>
      </c>
      <c r="H103" s="242">
        <f t="shared" si="29"/>
        <v>0.9090073657134996</v>
      </c>
      <c r="I103" s="157"/>
    </row>
    <row r="104" spans="1:9" ht="15.75">
      <c r="A104" s="164"/>
      <c r="B104" s="165">
        <f>DATE(15,11,1)</f>
        <v>5784</v>
      </c>
      <c r="C104" s="226">
        <v>176304585.53</v>
      </c>
      <c r="D104" s="226">
        <v>15902571.78</v>
      </c>
      <c r="E104" s="226">
        <v>15452261.49</v>
      </c>
      <c r="F104" s="166">
        <f t="shared" si="27"/>
        <v>0.029142031429601385</v>
      </c>
      <c r="G104" s="241">
        <f t="shared" si="28"/>
        <v>0.0901994223927546</v>
      </c>
      <c r="H104" s="242">
        <f t="shared" si="29"/>
        <v>0.9098005776072454</v>
      </c>
      <c r="I104" s="157"/>
    </row>
    <row r="105" spans="1:9" ht="15.75">
      <c r="A105" s="164"/>
      <c r="B105" s="165">
        <f>DATE(15,12,1)</f>
        <v>5814</v>
      </c>
      <c r="C105" s="226">
        <v>181945516.72</v>
      </c>
      <c r="D105" s="226">
        <v>16207166.42</v>
      </c>
      <c r="E105" s="226">
        <v>15509961.32</v>
      </c>
      <c r="F105" s="166">
        <f t="shared" si="27"/>
        <v>0.04495208502557372</v>
      </c>
      <c r="G105" s="241">
        <f t="shared" si="28"/>
        <v>0.0890770309275692</v>
      </c>
      <c r="H105" s="242">
        <f t="shared" si="29"/>
        <v>0.9109229690724308</v>
      </c>
      <c r="I105" s="157"/>
    </row>
    <row r="106" spans="1:9" ht="15.75">
      <c r="A106" s="164"/>
      <c r="B106" s="165">
        <f>DATE(16,1,1)</f>
        <v>5845</v>
      </c>
      <c r="C106" s="226">
        <v>184597962.36</v>
      </c>
      <c r="D106" s="226">
        <v>16295527.09</v>
      </c>
      <c r="E106" s="226">
        <v>15949660.58</v>
      </c>
      <c r="F106" s="166">
        <f t="shared" si="27"/>
        <v>0.021684882149385513</v>
      </c>
      <c r="G106" s="241">
        <f t="shared" si="28"/>
        <v>0.08827576903704236</v>
      </c>
      <c r="H106" s="242">
        <f t="shared" si="29"/>
        <v>0.9117242309629576</v>
      </c>
      <c r="I106" s="157"/>
    </row>
    <row r="107" spans="1:9" ht="15.75" thickBot="1">
      <c r="A107" s="167"/>
      <c r="B107" s="168"/>
      <c r="C107" s="226"/>
      <c r="D107" s="226"/>
      <c r="E107" s="226"/>
      <c r="F107" s="166"/>
      <c r="G107" s="241"/>
      <c r="H107" s="242"/>
      <c r="I107" s="157"/>
    </row>
    <row r="108" spans="1:9" ht="17.25" thickBot="1" thickTop="1">
      <c r="A108" s="174" t="s">
        <v>14</v>
      </c>
      <c r="B108" s="175"/>
      <c r="C108" s="228">
        <f>SUM(C100:C107)</f>
        <v>1279081045.67</v>
      </c>
      <c r="D108" s="228">
        <f>SUM(D100:D107)</f>
        <v>114415303.14</v>
      </c>
      <c r="E108" s="228">
        <f>SUM(E100:E107)</f>
        <v>109704935.89</v>
      </c>
      <c r="F108" s="176">
        <f>(+D108-E108)/E108</f>
        <v>0.0429366938851597</v>
      </c>
      <c r="G108" s="249">
        <f>D108/C108</f>
        <v>0.08945117553522006</v>
      </c>
      <c r="H108" s="270">
        <f>1-G108</f>
        <v>0.9105488244647799</v>
      </c>
      <c r="I108" s="157"/>
    </row>
    <row r="109" spans="1:9" ht="15.75" thickTop="1">
      <c r="A109" s="167"/>
      <c r="B109" s="168"/>
      <c r="C109" s="226"/>
      <c r="D109" s="226"/>
      <c r="E109" s="226"/>
      <c r="F109" s="166"/>
      <c r="G109" s="241"/>
      <c r="H109" s="242"/>
      <c r="I109" s="157"/>
    </row>
    <row r="110" spans="1:9" ht="15.75">
      <c r="A110" s="164" t="s">
        <v>59</v>
      </c>
      <c r="B110" s="165">
        <f>DATE(15,7,1)</f>
        <v>5661</v>
      </c>
      <c r="C110" s="226">
        <v>31589262.83</v>
      </c>
      <c r="D110" s="226">
        <v>2939417.51</v>
      </c>
      <c r="E110" s="226">
        <v>2839788.24</v>
      </c>
      <c r="F110" s="166">
        <f aca="true" t="shared" si="30" ref="F110:F116">(+D110-E110)/E110</f>
        <v>0.0350833448060196</v>
      </c>
      <c r="G110" s="241">
        <f aca="true" t="shared" si="31" ref="G110:G116">D110/C110</f>
        <v>0.09305115873766023</v>
      </c>
      <c r="H110" s="242">
        <f aca="true" t="shared" si="32" ref="H110:H116">1-G110</f>
        <v>0.9069488412623398</v>
      </c>
      <c r="I110" s="157"/>
    </row>
    <row r="111" spans="1:9" ht="15.75">
      <c r="A111" s="164"/>
      <c r="B111" s="165">
        <f>DATE(15,8,1)</f>
        <v>5692</v>
      </c>
      <c r="C111" s="226">
        <v>30903668.58</v>
      </c>
      <c r="D111" s="226">
        <v>2846158.11</v>
      </c>
      <c r="E111" s="226">
        <v>3005400.13</v>
      </c>
      <c r="F111" s="166">
        <f t="shared" si="30"/>
        <v>-0.05298529750180054</v>
      </c>
      <c r="G111" s="241">
        <f t="shared" si="31"/>
        <v>0.09209774246161684</v>
      </c>
      <c r="H111" s="242">
        <f t="shared" si="32"/>
        <v>0.9079022575383832</v>
      </c>
      <c r="I111" s="157"/>
    </row>
    <row r="112" spans="1:9" ht="15.75">
      <c r="A112" s="164"/>
      <c r="B112" s="165">
        <f>DATE(15,9,1)</f>
        <v>5723</v>
      </c>
      <c r="C112" s="226">
        <v>29148135.53</v>
      </c>
      <c r="D112" s="226">
        <v>2728326.6</v>
      </c>
      <c r="E112" s="226">
        <v>2588664.34</v>
      </c>
      <c r="F112" s="166">
        <f t="shared" si="30"/>
        <v>0.05395147522293302</v>
      </c>
      <c r="G112" s="241">
        <f t="shared" si="31"/>
        <v>0.09360209668271705</v>
      </c>
      <c r="H112" s="242">
        <f t="shared" si="32"/>
        <v>0.906397903317283</v>
      </c>
      <c r="I112" s="157"/>
    </row>
    <row r="113" spans="1:9" ht="15.75">
      <c r="A113" s="164"/>
      <c r="B113" s="165">
        <f>DATE(15,10,1)</f>
        <v>5753</v>
      </c>
      <c r="C113" s="226">
        <v>30494220.09</v>
      </c>
      <c r="D113" s="226">
        <v>2871413.92</v>
      </c>
      <c r="E113" s="226">
        <v>2779309.1</v>
      </c>
      <c r="F113" s="166">
        <f t="shared" si="30"/>
        <v>0.03313946620762686</v>
      </c>
      <c r="G113" s="241">
        <f t="shared" si="31"/>
        <v>0.09416256298817839</v>
      </c>
      <c r="H113" s="242">
        <f t="shared" si="32"/>
        <v>0.9058374370118216</v>
      </c>
      <c r="I113" s="157"/>
    </row>
    <row r="114" spans="1:9" ht="15.75">
      <c r="A114" s="164"/>
      <c r="B114" s="165">
        <f>DATE(15,11,1)</f>
        <v>5784</v>
      </c>
      <c r="C114" s="226">
        <v>28620047.89</v>
      </c>
      <c r="D114" s="226">
        <v>2691563.06</v>
      </c>
      <c r="E114" s="226">
        <v>2575983.41</v>
      </c>
      <c r="F114" s="166">
        <f t="shared" si="30"/>
        <v>0.04486816551353485</v>
      </c>
      <c r="G114" s="241">
        <f t="shared" si="31"/>
        <v>0.09404467352203302</v>
      </c>
      <c r="H114" s="242">
        <f t="shared" si="32"/>
        <v>0.905955326477967</v>
      </c>
      <c r="I114" s="157"/>
    </row>
    <row r="115" spans="1:9" ht="15.75">
      <c r="A115" s="164"/>
      <c r="B115" s="165">
        <f>DATE(15,12,1)</f>
        <v>5814</v>
      </c>
      <c r="C115" s="226">
        <v>31196411.18</v>
      </c>
      <c r="D115" s="226">
        <v>2841377.46</v>
      </c>
      <c r="E115" s="226">
        <v>2806604.54</v>
      </c>
      <c r="F115" s="166">
        <f t="shared" si="30"/>
        <v>0.012389675675505009</v>
      </c>
      <c r="G115" s="241">
        <f t="shared" si="31"/>
        <v>0.09108026700909767</v>
      </c>
      <c r="H115" s="242">
        <f t="shared" si="32"/>
        <v>0.9089197329909023</v>
      </c>
      <c r="I115" s="157"/>
    </row>
    <row r="116" spans="1:9" ht="15.75">
      <c r="A116" s="164"/>
      <c r="B116" s="165">
        <f>DATE(16,1,1)</f>
        <v>5845</v>
      </c>
      <c r="C116" s="226">
        <v>28712743.46</v>
      </c>
      <c r="D116" s="226">
        <v>2676374.07</v>
      </c>
      <c r="E116" s="226">
        <v>2544696.23</v>
      </c>
      <c r="F116" s="166">
        <f t="shared" si="30"/>
        <v>0.051745995631077686</v>
      </c>
      <c r="G116" s="241">
        <f t="shared" si="31"/>
        <v>0.09321206361657786</v>
      </c>
      <c r="H116" s="242">
        <f t="shared" si="32"/>
        <v>0.9067879363834221</v>
      </c>
      <c r="I116" s="157"/>
    </row>
    <row r="117" spans="1:9" ht="15.75" thickBot="1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7.25" thickBot="1" thickTop="1">
      <c r="A118" s="182" t="s">
        <v>14</v>
      </c>
      <c r="B118" s="183"/>
      <c r="C118" s="230">
        <f>SUM(C110:C117)</f>
        <v>210664489.56000003</v>
      </c>
      <c r="D118" s="230">
        <f>SUM(D110:D117)</f>
        <v>19594630.73</v>
      </c>
      <c r="E118" s="230">
        <f>SUM(E110:E117)</f>
        <v>19140445.990000002</v>
      </c>
      <c r="F118" s="176">
        <f>(+D118-E118)/E118</f>
        <v>0.023729057318585413</v>
      </c>
      <c r="G118" s="249">
        <f>D118/C118</f>
        <v>0.09301344887752992</v>
      </c>
      <c r="H118" s="246">
        <f>1-G118</f>
        <v>0.9069865511224701</v>
      </c>
      <c r="I118" s="157"/>
    </row>
    <row r="119" spans="1:9" ht="15.75" thickTop="1">
      <c r="A119" s="167"/>
      <c r="B119" s="168"/>
      <c r="C119" s="226"/>
      <c r="D119" s="226"/>
      <c r="E119" s="226"/>
      <c r="F119" s="166"/>
      <c r="G119" s="241"/>
      <c r="H119" s="242"/>
      <c r="I119" s="157"/>
    </row>
    <row r="120" spans="1:9" ht="15.75">
      <c r="A120" s="164" t="s">
        <v>40</v>
      </c>
      <c r="B120" s="165">
        <f>DATE(15,7,1)</f>
        <v>5661</v>
      </c>
      <c r="C120" s="226">
        <v>220200494.75</v>
      </c>
      <c r="D120" s="226">
        <v>19933602.06</v>
      </c>
      <c r="E120" s="226">
        <v>19981616.24</v>
      </c>
      <c r="F120" s="166">
        <f aca="true" t="shared" si="33" ref="F120:F126">(+D120-E120)/E120</f>
        <v>-0.00240291773314528</v>
      </c>
      <c r="G120" s="241">
        <f aca="true" t="shared" si="34" ref="G120:G126">D120/C120</f>
        <v>0.09052478325551082</v>
      </c>
      <c r="H120" s="242">
        <f aca="true" t="shared" si="35" ref="H120:H126">1-G120</f>
        <v>0.9094752167444892</v>
      </c>
      <c r="I120" s="157"/>
    </row>
    <row r="121" spans="1:9" ht="15.75">
      <c r="A121" s="164"/>
      <c r="B121" s="165">
        <f>DATE(15,8,1)</f>
        <v>5692</v>
      </c>
      <c r="C121" s="226">
        <v>214550668.73</v>
      </c>
      <c r="D121" s="226">
        <v>19402722.75</v>
      </c>
      <c r="E121" s="226">
        <v>21075262.02</v>
      </c>
      <c r="F121" s="166">
        <f t="shared" si="33"/>
        <v>-0.07936030728409418</v>
      </c>
      <c r="G121" s="241">
        <f t="shared" si="34"/>
        <v>0.09043422173816312</v>
      </c>
      <c r="H121" s="242">
        <f t="shared" si="35"/>
        <v>0.9095657782618369</v>
      </c>
      <c r="I121" s="157"/>
    </row>
    <row r="122" spans="1:9" ht="15.75">
      <c r="A122" s="164"/>
      <c r="B122" s="165">
        <f>DATE(15,9,1)</f>
        <v>5723</v>
      </c>
      <c r="C122" s="226">
        <v>201315980.07</v>
      </c>
      <c r="D122" s="226">
        <v>18571151.76</v>
      </c>
      <c r="E122" s="226">
        <v>17486814.22</v>
      </c>
      <c r="F122" s="166">
        <f t="shared" si="33"/>
        <v>0.06200886715888052</v>
      </c>
      <c r="G122" s="241">
        <f t="shared" si="34"/>
        <v>0.09224877107889094</v>
      </c>
      <c r="H122" s="242">
        <f t="shared" si="35"/>
        <v>0.907751228921109</v>
      </c>
      <c r="I122" s="157"/>
    </row>
    <row r="123" spans="1:9" ht="15.75">
      <c r="A123" s="164"/>
      <c r="B123" s="165">
        <f>DATE(15,10,1)</f>
        <v>5753</v>
      </c>
      <c r="C123" s="226">
        <v>212642709.82</v>
      </c>
      <c r="D123" s="226">
        <v>19211879.39</v>
      </c>
      <c r="E123" s="226">
        <v>18422996.77</v>
      </c>
      <c r="F123" s="166">
        <f t="shared" si="33"/>
        <v>0.042820537280048664</v>
      </c>
      <c r="G123" s="241">
        <f t="shared" si="34"/>
        <v>0.09034816856059948</v>
      </c>
      <c r="H123" s="242">
        <f t="shared" si="35"/>
        <v>0.9096518314394005</v>
      </c>
      <c r="I123" s="157"/>
    </row>
    <row r="124" spans="1:9" ht="15.75">
      <c r="A124" s="164"/>
      <c r="B124" s="165">
        <f>DATE(15,11,1)</f>
        <v>5784</v>
      </c>
      <c r="C124" s="226">
        <v>208726524.19</v>
      </c>
      <c r="D124" s="226">
        <v>18565267.48</v>
      </c>
      <c r="E124" s="226">
        <v>18567130.19</v>
      </c>
      <c r="F124" s="166">
        <f t="shared" si="33"/>
        <v>-0.00010032298911784029</v>
      </c>
      <c r="G124" s="241">
        <f t="shared" si="34"/>
        <v>0.08894541578769535</v>
      </c>
      <c r="H124" s="242">
        <f t="shared" si="35"/>
        <v>0.9110545842123047</v>
      </c>
      <c r="I124" s="157"/>
    </row>
    <row r="125" spans="1:9" ht="15.75">
      <c r="A125" s="164"/>
      <c r="B125" s="165">
        <f>DATE(15,12,1)</f>
        <v>5814</v>
      </c>
      <c r="C125" s="226">
        <v>210859623.33</v>
      </c>
      <c r="D125" s="226">
        <v>18665432.34</v>
      </c>
      <c r="E125" s="226">
        <v>19475406.19</v>
      </c>
      <c r="F125" s="166">
        <f t="shared" si="33"/>
        <v>-0.04158957415819636</v>
      </c>
      <c r="G125" s="241">
        <f t="shared" si="34"/>
        <v>0.0885206567536554</v>
      </c>
      <c r="H125" s="242">
        <f t="shared" si="35"/>
        <v>0.9114793432463446</v>
      </c>
      <c r="I125" s="157"/>
    </row>
    <row r="126" spans="1:9" ht="15.75">
      <c r="A126" s="164"/>
      <c r="B126" s="165">
        <f>DATE(16,1,1)</f>
        <v>5845</v>
      </c>
      <c r="C126" s="226">
        <v>214067995.74</v>
      </c>
      <c r="D126" s="226">
        <v>18845806</v>
      </c>
      <c r="E126" s="226">
        <v>19339756.99</v>
      </c>
      <c r="F126" s="166">
        <f t="shared" si="33"/>
        <v>-0.025540703032380676</v>
      </c>
      <c r="G126" s="241">
        <f t="shared" si="34"/>
        <v>0.08803654154304084</v>
      </c>
      <c r="H126" s="242">
        <f t="shared" si="35"/>
        <v>0.9119634584569591</v>
      </c>
      <c r="I126" s="157"/>
    </row>
    <row r="127" spans="1:9" ht="15.75" thickBot="1">
      <c r="A127" s="167"/>
      <c r="B127" s="168"/>
      <c r="C127" s="226"/>
      <c r="D127" s="226"/>
      <c r="E127" s="226"/>
      <c r="F127" s="166"/>
      <c r="G127" s="241"/>
      <c r="H127" s="242"/>
      <c r="I127" s="157"/>
    </row>
    <row r="128" spans="1:9" ht="17.25" thickBot="1" thickTop="1">
      <c r="A128" s="174" t="s">
        <v>14</v>
      </c>
      <c r="B128" s="175"/>
      <c r="C128" s="228">
        <f>SUM(C120:C127)</f>
        <v>1482363996.6299999</v>
      </c>
      <c r="D128" s="228">
        <f>SUM(D120:D127)</f>
        <v>133195861.78000002</v>
      </c>
      <c r="E128" s="228">
        <f>SUM(E120:E127)</f>
        <v>134348982.62</v>
      </c>
      <c r="F128" s="176">
        <f>(+D128-E128)/E128</f>
        <v>-0.00858302621659249</v>
      </c>
      <c r="G128" s="245">
        <f>D128/C128</f>
        <v>0.08985368106808242</v>
      </c>
      <c r="H128" s="246">
        <f>1-G128</f>
        <v>0.9101463189319176</v>
      </c>
      <c r="I128" s="157"/>
    </row>
    <row r="129" spans="1:9" ht="15.75" thickTop="1">
      <c r="A129" s="167"/>
      <c r="B129" s="168"/>
      <c r="C129" s="226"/>
      <c r="D129" s="226"/>
      <c r="E129" s="226"/>
      <c r="F129" s="166"/>
      <c r="G129" s="241"/>
      <c r="H129" s="242"/>
      <c r="I129" s="157"/>
    </row>
    <row r="130" spans="1:9" ht="15.75">
      <c r="A130" s="164" t="s">
        <v>64</v>
      </c>
      <c r="B130" s="165">
        <f>DATE(15,7,1)</f>
        <v>5661</v>
      </c>
      <c r="C130" s="226">
        <v>34484649.78</v>
      </c>
      <c r="D130" s="226">
        <v>3135489.91</v>
      </c>
      <c r="E130" s="226">
        <v>3131194.84</v>
      </c>
      <c r="F130" s="166">
        <f aca="true" t="shared" si="36" ref="F130:F136">(+D130-E130)/E130</f>
        <v>0.0013717032057961294</v>
      </c>
      <c r="G130" s="241">
        <f aca="true" t="shared" si="37" ref="G130:G136">D130/C130</f>
        <v>0.09092422077658693</v>
      </c>
      <c r="H130" s="242">
        <f aca="true" t="shared" si="38" ref="H130:H136">1-G130</f>
        <v>0.9090757792234131</v>
      </c>
      <c r="I130" s="157"/>
    </row>
    <row r="131" spans="1:9" ht="15.75">
      <c r="A131" s="164"/>
      <c r="B131" s="165">
        <f>DATE(15,8,1)</f>
        <v>5692</v>
      </c>
      <c r="C131" s="226">
        <v>33992565</v>
      </c>
      <c r="D131" s="226">
        <v>3054087.69</v>
      </c>
      <c r="E131" s="226">
        <v>3227301.46</v>
      </c>
      <c r="F131" s="166">
        <f t="shared" si="36"/>
        <v>-0.05367139455264896</v>
      </c>
      <c r="G131" s="241">
        <f t="shared" si="37"/>
        <v>0.08984575568216167</v>
      </c>
      <c r="H131" s="242">
        <f t="shared" si="38"/>
        <v>0.9101542443178383</v>
      </c>
      <c r="I131" s="157"/>
    </row>
    <row r="132" spans="1:9" ht="15.75">
      <c r="A132" s="164"/>
      <c r="B132" s="165">
        <f>DATE(15,9,1)</f>
        <v>5723</v>
      </c>
      <c r="C132" s="226">
        <v>31390422.87</v>
      </c>
      <c r="D132" s="226">
        <v>2932278.42</v>
      </c>
      <c r="E132" s="226">
        <v>2886113.88</v>
      </c>
      <c r="F132" s="166">
        <f t="shared" si="36"/>
        <v>0.015995397936272714</v>
      </c>
      <c r="G132" s="241">
        <f t="shared" si="37"/>
        <v>0.09341315445617633</v>
      </c>
      <c r="H132" s="242">
        <f t="shared" si="38"/>
        <v>0.9065868455438236</v>
      </c>
      <c r="I132" s="157"/>
    </row>
    <row r="133" spans="1:9" ht="15.75">
      <c r="A133" s="164"/>
      <c r="B133" s="165">
        <f>DATE(15,10,1)</f>
        <v>5753</v>
      </c>
      <c r="C133" s="226">
        <v>33008637.75</v>
      </c>
      <c r="D133" s="226">
        <v>2975346.07</v>
      </c>
      <c r="E133" s="226">
        <v>2908095.78</v>
      </c>
      <c r="F133" s="166">
        <f t="shared" si="36"/>
        <v>0.023125197753974956</v>
      </c>
      <c r="G133" s="241">
        <f t="shared" si="37"/>
        <v>0.0901384083928153</v>
      </c>
      <c r="H133" s="242">
        <f t="shared" si="38"/>
        <v>0.9098615916071847</v>
      </c>
      <c r="I133" s="157"/>
    </row>
    <row r="134" spans="1:9" ht="15.75">
      <c r="A134" s="164"/>
      <c r="B134" s="165">
        <f>DATE(15,11,1)</f>
        <v>5784</v>
      </c>
      <c r="C134" s="226">
        <v>30809841.94</v>
      </c>
      <c r="D134" s="226">
        <v>2749797.25</v>
      </c>
      <c r="E134" s="226">
        <v>2809592.69</v>
      </c>
      <c r="F134" s="166">
        <f t="shared" si="36"/>
        <v>-0.021282600931026747</v>
      </c>
      <c r="G134" s="241">
        <f t="shared" si="37"/>
        <v>0.08925061203997854</v>
      </c>
      <c r="H134" s="242">
        <f t="shared" si="38"/>
        <v>0.9107493879600215</v>
      </c>
      <c r="I134" s="157"/>
    </row>
    <row r="135" spans="1:9" ht="15.75">
      <c r="A135" s="164"/>
      <c r="B135" s="165">
        <f>DATE(15,12,1)</f>
        <v>5814</v>
      </c>
      <c r="C135" s="226">
        <v>35330554.24</v>
      </c>
      <c r="D135" s="226">
        <v>3010503.06</v>
      </c>
      <c r="E135" s="226">
        <v>2822057.08</v>
      </c>
      <c r="F135" s="166">
        <f t="shared" si="36"/>
        <v>0.06677610503895264</v>
      </c>
      <c r="G135" s="241">
        <f t="shared" si="37"/>
        <v>0.0852096188344426</v>
      </c>
      <c r="H135" s="242">
        <f t="shared" si="38"/>
        <v>0.9147903811655574</v>
      </c>
      <c r="I135" s="157"/>
    </row>
    <row r="136" spans="1:9" ht="15.75">
      <c r="A136" s="164"/>
      <c r="B136" s="165">
        <f>DATE(16,1,1)</f>
        <v>5845</v>
      </c>
      <c r="C136" s="226">
        <v>32249451.72</v>
      </c>
      <c r="D136" s="226">
        <v>2977166.12</v>
      </c>
      <c r="E136" s="226">
        <v>3119187.16</v>
      </c>
      <c r="F136" s="166">
        <f t="shared" si="36"/>
        <v>-0.04553142620656339</v>
      </c>
      <c r="G136" s="241">
        <f t="shared" si="37"/>
        <v>0.09231679799857385</v>
      </c>
      <c r="H136" s="242">
        <f t="shared" si="38"/>
        <v>0.9076832020014262</v>
      </c>
      <c r="I136" s="157"/>
    </row>
    <row r="137" spans="1:9" ht="15.75" thickBot="1">
      <c r="A137" s="167"/>
      <c r="B137" s="168"/>
      <c r="C137" s="226"/>
      <c r="D137" s="226"/>
      <c r="E137" s="226"/>
      <c r="F137" s="166"/>
      <c r="G137" s="241"/>
      <c r="H137" s="242"/>
      <c r="I137" s="157"/>
    </row>
    <row r="138" spans="1:9" ht="17.25" thickBot="1" thickTop="1">
      <c r="A138" s="169" t="s">
        <v>14</v>
      </c>
      <c r="B138" s="155"/>
      <c r="C138" s="223">
        <f>SUM(C130:C137)</f>
        <v>231266123.3</v>
      </c>
      <c r="D138" s="223">
        <f>SUM(D130:D137)</f>
        <v>20834668.52</v>
      </c>
      <c r="E138" s="223">
        <f>SUM(E130:E137)</f>
        <v>20903542.889999997</v>
      </c>
      <c r="F138" s="176">
        <f>(+D138-E138)/E138</f>
        <v>-0.00329486586854834</v>
      </c>
      <c r="G138" s="245">
        <f>D138/C138</f>
        <v>0.09008958261030356</v>
      </c>
      <c r="H138" s="246">
        <f>1-G138</f>
        <v>0.9099104173896965</v>
      </c>
      <c r="I138" s="157"/>
    </row>
    <row r="139" spans="1:9" ht="16.5" thickBot="1" thickTop="1">
      <c r="A139" s="171"/>
      <c r="B139" s="172"/>
      <c r="C139" s="227"/>
      <c r="D139" s="227"/>
      <c r="E139" s="227"/>
      <c r="F139" s="173"/>
      <c r="G139" s="243"/>
      <c r="H139" s="244"/>
      <c r="I139" s="157"/>
    </row>
    <row r="140" spans="1:9" ht="17.25" thickBot="1" thickTop="1">
      <c r="A140" s="184" t="s">
        <v>41</v>
      </c>
      <c r="B140" s="155"/>
      <c r="C140" s="223">
        <f>C138+C128+C98+C78+C58+C38+C18+C48+C118+C28+C88+C108+C68</f>
        <v>9056223181.910002</v>
      </c>
      <c r="D140" s="223">
        <f>D138+D128+D98+D78+D58+D38+D18+D48+D118+D28+D88+D108+D68</f>
        <v>852046303.2700001</v>
      </c>
      <c r="E140" s="223">
        <f>E138+E128+E98+E78+E58+E38+E18+E48+E118+E28+E88+E108+E68</f>
        <v>840926961.4200001</v>
      </c>
      <c r="F140" s="170">
        <f>(+D140-E140)/E140</f>
        <v>0.013222720117361631</v>
      </c>
      <c r="G140" s="236">
        <f>D140/C140</f>
        <v>0.09408406640993353</v>
      </c>
      <c r="H140" s="237">
        <f>1-G140</f>
        <v>0.9059159335900665</v>
      </c>
      <c r="I140" s="157"/>
    </row>
    <row r="141" spans="1:9" ht="17.25" thickBot="1" thickTop="1">
      <c r="A141" s="184"/>
      <c r="B141" s="155"/>
      <c r="C141" s="223"/>
      <c r="D141" s="223"/>
      <c r="E141" s="223"/>
      <c r="F141" s="170"/>
      <c r="G141" s="236"/>
      <c r="H141" s="237"/>
      <c r="I141" s="157"/>
    </row>
    <row r="142" spans="1:9" ht="17.25" thickBot="1" thickTop="1">
      <c r="A142" s="184" t="s">
        <v>42</v>
      </c>
      <c r="B142" s="155"/>
      <c r="C142" s="223">
        <f>+C16+C26+C36+C46+C56+C66+C76+C86+C96+C106+C116+C126+C136</f>
        <v>1279806051.9199998</v>
      </c>
      <c r="D142" s="223">
        <f>+D16+D26+D36+D46+D56+D66+D76+D86+D96+D106+D116+D126+D136</f>
        <v>119697837.58</v>
      </c>
      <c r="E142" s="223">
        <f>+E16+E26+E36+E46+E56+E66+E76+E86+E96+E106+E116+E126+E136</f>
        <v>121027479.08</v>
      </c>
      <c r="F142" s="170">
        <f>(+D142-E142)/E142</f>
        <v>-0.010986277745412658</v>
      </c>
      <c r="G142" s="236">
        <f>D142/C142</f>
        <v>0.09352810716938402</v>
      </c>
      <c r="H142" s="246">
        <f>1-G142</f>
        <v>0.906471892830616</v>
      </c>
      <c r="I142" s="157"/>
    </row>
    <row r="143" spans="1:9" ht="16.5" thickTop="1">
      <c r="A143" s="185"/>
      <c r="B143" s="186"/>
      <c r="C143" s="231"/>
      <c r="D143" s="231"/>
      <c r="E143" s="231"/>
      <c r="F143" s="187"/>
      <c r="G143" s="250"/>
      <c r="H143" s="250"/>
      <c r="I143" s="151"/>
    </row>
    <row r="144" spans="1:9" ht="16.5" customHeight="1">
      <c r="A144" s="188" t="s">
        <v>52</v>
      </c>
      <c r="B144" s="189"/>
      <c r="C144" s="232"/>
      <c r="D144" s="232"/>
      <c r="E144" s="232"/>
      <c r="F144" s="190"/>
      <c r="G144" s="251"/>
      <c r="H144" s="251"/>
      <c r="I144" s="151"/>
    </row>
    <row r="145" spans="1:9" ht="15.75">
      <c r="A145" s="191"/>
      <c r="B145" s="189"/>
      <c r="C145" s="232"/>
      <c r="D145" s="232"/>
      <c r="E145" s="232"/>
      <c r="F145" s="190"/>
      <c r="G145" s="257"/>
      <c r="H145" s="257"/>
      <c r="I145" s="151"/>
    </row>
    <row r="146" spans="1:9" ht="15.75">
      <c r="A146" s="72"/>
      <c r="I146" s="151"/>
    </row>
  </sheetData>
  <sheetProtection/>
  <printOptions horizontalCentered="1"/>
  <pageMargins left="0.75" right="0.25" top="0.3194" bottom="0.2" header="0.5" footer="0.5"/>
  <pageSetup horizontalDpi="600" verticalDpi="600" orientation="landscape" scale="63" r:id="rId1"/>
  <rowBreaks count="2" manualBreakCount="2">
    <brk id="58" max="8" man="1"/>
    <brk id="1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2016-02-09T14:29:30Z</cp:lastPrinted>
  <dcterms:created xsi:type="dcterms:W3CDTF">2003-09-09T14:41:43Z</dcterms:created>
  <dcterms:modified xsi:type="dcterms:W3CDTF">2016-02-09T20:18:38Z</dcterms:modified>
  <cp:category/>
  <cp:version/>
  <cp:contentType/>
  <cp:contentStatus/>
</cp:coreProperties>
</file>