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STATS'!$A$1:$M$208</definedName>
    <definedName name="_xlnm.Print_Area" localSheetId="3">'SLOT STATS'!$A$1:$I$209</definedName>
    <definedName name="_xlnm.Print_Area" localSheetId="2">'TABLE STATS'!$A$1:$H$208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<sst xmlns="http://schemas.openxmlformats.org/spreadsheetml/2006/main" count="192" uniqueCount="75">
  <si>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</si>
  <si>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</si>
  <si>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</si>
  <si>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</si>
  <si>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</si>
  <si>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</si>
  <si>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</si>
  <si>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</si>
  <si>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</si>
  <si>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</si>
  <si>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</si>
  <si>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</si>
  <si>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</si>
  <si>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</si>
  <si>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</si>
  <si>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</si>
  <si>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</si>
  <si>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</si>
  <si>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</si>
  <si>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</si>
  <si>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</si>
  <si>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</si>
  <si>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</si>
  <si>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</si>
  <si>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</si>
  <si>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</si>
  <si>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</si>
  <si>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</si>
  <si>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</si>
  <si>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</si>
  <si>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</si>
  <si>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</si>
  <si>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</si>
  <si>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</si>
  <si>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</si>
  <si>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</si>
  <si>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</si>
  <si>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</si>
  <si>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</si>
  <si>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</si>
  <si>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</si>
  <si>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</si>
  <si>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</si>
  <si>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</si>
  <si>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</si>
  <si>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</si>
  <si>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</si>
  <si>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</si>
  <si>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</si>
  <si>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</si>
  <si>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</si>
  <si>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</si>
  <si>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</si>
  <si>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</si>
  <si>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</si>
  <si>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</si>
  <si>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</si>
  <si>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</si>
  <si>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</si>
  <si>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</si>
  <si>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</si>
  <si>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</si>
  <si>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</si>
  <si>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</si>
  <si>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</si>
  <si>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</si>
  <si>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</si>
  <si>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FISCAL 2016 YTD ADMISSIONS, PATRONS AND AGR SUMMARY </t>
  </si>
  <si>
    <t xml:space="preserve">LUMIERE PLACE </t>
  </si>
  <si>
    <t>MONTH ENDED:   JUNE 30, 2016</t>
  </si>
  <si>
    <t>(as reported on the tax remittal database dtd 7/8/16)</t>
  </si>
  <si>
    <t>FOR THE MONTH ENDED:   JUNE 30, 2016</t>
  </si>
  <si>
    <t>THRU MONTH ENDED:   JUNE 30, 2016</t>
  </si>
  <si>
    <t>(as reported on the tax remittal database as of 7/8/16)</t>
  </si>
  <si>
    <t>THRU MONTH ENDED:    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</si>
</sst>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8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67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DATE(2015,7,1)</f>
        <v>42186</v>
      </c>
      <c r="C9" s="21">
        <v>283931</v>
      </c>
      <c r="D9" s="22">
        <v>267164</v>
      </c>
      <c r="E9" s="23">
        <f aca="true" t="shared" si="0" ref="E9:E20">(+C9-D9)/D9</f>
        <v>0.06275920408438262</v>
      </c>
      <c r="F9" s="21">
        <f>+C9-135860</f>
        <v>148071</v>
      </c>
      <c r="G9" s="21">
        <f>+D9-127421</f>
        <v>139743</v>
      </c>
      <c r="H9" s="23">
        <f aca="true" t="shared" si="1" ref="H9:H20">(+F9-G9)/G9</f>
        <v>0.05959511388763659</v>
      </c>
      <c r="I9" s="24">
        <f aca="true" t="shared" si="2" ref="I9:I20">K9/C9</f>
        <v>45.25721231566825</v>
      </c>
      <c r="J9" s="24">
        <f aca="true" t="shared" si="3" ref="J9:J20">K9/F9</f>
        <v>86.78218928757151</v>
      </c>
      <c r="K9" s="21">
        <v>12849925.55</v>
      </c>
      <c r="L9" s="21">
        <v>11142372.81</v>
      </c>
      <c r="M9" s="25">
        <f aca="true" t="shared" si="4" ref="M9:M20">(+K9-L9)/L9</f>
        <v>0.15324857363123898</v>
      </c>
      <c r="N9" s="10"/>
      <c r="R9" s="2"/>
    </row>
    <row r="10" spans="1:18" ht="15">
      <c r="A10" s="19"/>
      <c r="B10" s="20">
        <f>DATE(2015,8,1)</f>
        <v>42217</v>
      </c>
      <c r="C10" s="21">
        <v>273668</v>
      </c>
      <c r="D10" s="22">
        <v>277665</v>
      </c>
      <c r="E10" s="23">
        <f t="shared" si="0"/>
        <v>-0.014395044388021536</v>
      </c>
      <c r="F10" s="21">
        <f>+C10-130612</f>
        <v>143056</v>
      </c>
      <c r="G10" s="21">
        <f>+D10-135151</f>
        <v>142514</v>
      </c>
      <c r="H10" s="23">
        <f t="shared" si="1"/>
        <v>0.003803135130583662</v>
      </c>
      <c r="I10" s="24">
        <f t="shared" si="2"/>
        <v>43.66950852858208</v>
      </c>
      <c r="J10" s="24">
        <f t="shared" si="3"/>
        <v>83.54034126495918</v>
      </c>
      <c r="K10" s="21">
        <v>11950947.06</v>
      </c>
      <c r="L10" s="21">
        <v>12165062.62</v>
      </c>
      <c r="M10" s="25">
        <f t="shared" si="4"/>
        <v>-0.01760085966577611</v>
      </c>
      <c r="N10" s="10"/>
      <c r="R10" s="2"/>
    </row>
    <row r="11" spans="1:18" ht="15">
      <c r="A11" s="19"/>
      <c r="B11" s="20">
        <f>DATE(2015,9,1)</f>
        <v>42248</v>
      </c>
      <c r="C11" s="21">
        <v>266481</v>
      </c>
      <c r="D11" s="22">
        <v>248158</v>
      </c>
      <c r="E11" s="23">
        <f t="shared" si="0"/>
        <v>0.07383602382353179</v>
      </c>
      <c r="F11" s="21">
        <f>+C11-126933</f>
        <v>139548</v>
      </c>
      <c r="G11" s="21">
        <f>+D11-120172</f>
        <v>127986</v>
      </c>
      <c r="H11" s="23">
        <f t="shared" si="1"/>
        <v>0.09033800571937556</v>
      </c>
      <c r="I11" s="24">
        <f t="shared" si="2"/>
        <v>44.13791302194152</v>
      </c>
      <c r="J11" s="24">
        <f t="shared" si="3"/>
        <v>84.28580273454294</v>
      </c>
      <c r="K11" s="21">
        <v>11761915.2</v>
      </c>
      <c r="L11" s="21">
        <v>10627922.3</v>
      </c>
      <c r="M11" s="25">
        <f t="shared" si="4"/>
        <v>0.10669939692728074</v>
      </c>
      <c r="N11" s="10"/>
      <c r="R11" s="2"/>
    </row>
    <row r="12" spans="1:18" ht="15">
      <c r="A12" s="19"/>
      <c r="B12" s="20">
        <f>DATE(2015,10,1)</f>
        <v>42278</v>
      </c>
      <c r="C12" s="21">
        <v>273087</v>
      </c>
      <c r="D12" s="22">
        <v>266065</v>
      </c>
      <c r="E12" s="23">
        <f t="shared" si="0"/>
        <v>0.026392047056170483</v>
      </c>
      <c r="F12" s="21">
        <f>+C12-130295</f>
        <v>142792</v>
      </c>
      <c r="G12" s="21">
        <f>+D12-128901</f>
        <v>137164</v>
      </c>
      <c r="H12" s="23">
        <f t="shared" si="1"/>
        <v>0.041031174360619406</v>
      </c>
      <c r="I12" s="24">
        <f t="shared" si="2"/>
        <v>45.32981306323626</v>
      </c>
      <c r="J12" s="24">
        <f t="shared" si="3"/>
        <v>86.69241035912376</v>
      </c>
      <c r="K12" s="21">
        <v>12378982.66</v>
      </c>
      <c r="L12" s="21">
        <v>11463260.33</v>
      </c>
      <c r="M12" s="25">
        <f t="shared" si="4"/>
        <v>0.07988323597637428</v>
      </c>
      <c r="N12" s="10"/>
      <c r="R12" s="2"/>
    </row>
    <row r="13" spans="1:18" ht="15">
      <c r="A13" s="19"/>
      <c r="B13" s="20">
        <f>DATE(2015,11,1)</f>
        <v>42309</v>
      </c>
      <c r="C13" s="21">
        <v>257636</v>
      </c>
      <c r="D13" s="22">
        <v>269524</v>
      </c>
      <c r="E13" s="23">
        <f t="shared" si="0"/>
        <v>-0.04410738932339977</v>
      </c>
      <c r="F13" s="21">
        <f>+C13-124268</f>
        <v>133368</v>
      </c>
      <c r="G13" s="21">
        <f>+D13-132202</f>
        <v>137322</v>
      </c>
      <c r="H13" s="23">
        <f t="shared" si="1"/>
        <v>-0.02879363830995762</v>
      </c>
      <c r="I13" s="24">
        <f t="shared" si="2"/>
        <v>44.65663412721825</v>
      </c>
      <c r="J13" s="24">
        <f t="shared" si="3"/>
        <v>86.26624520124767</v>
      </c>
      <c r="K13" s="21">
        <v>11505156.59</v>
      </c>
      <c r="L13" s="21">
        <v>11505720.63</v>
      </c>
      <c r="M13" s="25">
        <f t="shared" si="4"/>
        <v>-4.902257043598742E-05</v>
      </c>
      <c r="N13" s="10"/>
      <c r="R13" s="2"/>
    </row>
    <row r="14" spans="1:18" ht="15">
      <c r="A14" s="19"/>
      <c r="B14" s="20">
        <f>DATE(2015,12,1)</f>
        <v>42339</v>
      </c>
      <c r="C14" s="21">
        <v>288002</v>
      </c>
      <c r="D14" s="22">
        <v>280201</v>
      </c>
      <c r="E14" s="23">
        <f t="shared" si="0"/>
        <v>0.027840728619812207</v>
      </c>
      <c r="F14" s="21">
        <f>+C14-141617</f>
        <v>146385</v>
      </c>
      <c r="G14" s="21">
        <f>+D14-136103</f>
        <v>144098</v>
      </c>
      <c r="H14" s="23">
        <f t="shared" si="1"/>
        <v>0.015871143249732822</v>
      </c>
      <c r="I14" s="24">
        <f t="shared" si="2"/>
        <v>44.60124072055055</v>
      </c>
      <c r="J14" s="24">
        <f t="shared" si="3"/>
        <v>87.74974573897599</v>
      </c>
      <c r="K14" s="21">
        <v>12845246.53</v>
      </c>
      <c r="L14" s="21">
        <v>11820151.64</v>
      </c>
      <c r="M14" s="25">
        <f t="shared" si="4"/>
        <v>0.08672434341121521</v>
      </c>
      <c r="N14" s="10"/>
      <c r="R14" s="2"/>
    </row>
    <row r="15" spans="1:18" ht="15">
      <c r="A15" s="19"/>
      <c r="B15" s="20">
        <f>DATE(2016,1,1)</f>
        <v>42370</v>
      </c>
      <c r="C15" s="21">
        <v>292074</v>
      </c>
      <c r="D15" s="22">
        <v>279762</v>
      </c>
      <c r="E15" s="23">
        <f t="shared" si="0"/>
        <v>0.04400883608209836</v>
      </c>
      <c r="F15" s="21">
        <f>+C15-145423</f>
        <v>146651</v>
      </c>
      <c r="G15" s="21">
        <f>+D15-136377</f>
        <v>143385</v>
      </c>
      <c r="H15" s="23">
        <f t="shared" si="1"/>
        <v>0.02277783589636294</v>
      </c>
      <c r="I15" s="24">
        <f t="shared" si="2"/>
        <v>42.98846953169402</v>
      </c>
      <c r="J15" s="24">
        <f t="shared" si="3"/>
        <v>85.61696988087364</v>
      </c>
      <c r="K15" s="21">
        <v>12555814.25</v>
      </c>
      <c r="L15" s="21">
        <v>11823878.73</v>
      </c>
      <c r="M15" s="25">
        <f t="shared" si="4"/>
        <v>0.06190316534141242</v>
      </c>
      <c r="N15" s="10"/>
      <c r="R15" s="2"/>
    </row>
    <row r="16" spans="1:18" ht="15">
      <c r="A16" s="19"/>
      <c r="B16" s="20">
        <f>DATE(2016,2,1)</f>
        <v>42401</v>
      </c>
      <c r="C16" s="21">
        <v>301701</v>
      </c>
      <c r="D16" s="22">
        <v>267152</v>
      </c>
      <c r="E16" s="23">
        <f t="shared" si="0"/>
        <v>0.12932338144576871</v>
      </c>
      <c r="F16" s="21">
        <f>+C16-147659</f>
        <v>154042</v>
      </c>
      <c r="G16" s="21">
        <f>+D16-130903</f>
        <v>136249</v>
      </c>
      <c r="H16" s="23">
        <f t="shared" si="1"/>
        <v>0.13059178415988373</v>
      </c>
      <c r="I16" s="24">
        <f t="shared" si="2"/>
        <v>43.21574926831532</v>
      </c>
      <c r="J16" s="24">
        <f t="shared" si="3"/>
        <v>84.64077829423144</v>
      </c>
      <c r="K16" s="21">
        <v>13038234.77</v>
      </c>
      <c r="L16" s="21">
        <v>11397700.16</v>
      </c>
      <c r="M16" s="25">
        <f t="shared" si="4"/>
        <v>0.1439355823517294</v>
      </c>
      <c r="N16" s="10"/>
      <c r="R16" s="2"/>
    </row>
    <row r="17" spans="1:18" ht="15">
      <c r="A17" s="19"/>
      <c r="B17" s="20">
        <f>DATE(2016,3,1)</f>
        <v>42430</v>
      </c>
      <c r="C17" s="21">
        <v>302990</v>
      </c>
      <c r="D17" s="22">
        <v>293318</v>
      </c>
      <c r="E17" s="23">
        <f t="shared" si="0"/>
        <v>0.032974450937208084</v>
      </c>
      <c r="F17" s="21">
        <f>+C17-148843</f>
        <v>154147</v>
      </c>
      <c r="G17" s="21">
        <f>+D17-142282</f>
        <v>151036</v>
      </c>
      <c r="H17" s="23">
        <f t="shared" si="1"/>
        <v>0.02059773828756058</v>
      </c>
      <c r="I17" s="24">
        <f t="shared" si="2"/>
        <v>43.89362629129674</v>
      </c>
      <c r="J17" s="24">
        <f t="shared" si="3"/>
        <v>86.27692935963724</v>
      </c>
      <c r="K17" s="21">
        <v>13299329.83</v>
      </c>
      <c r="L17" s="21">
        <v>12979121.72</v>
      </c>
      <c r="M17" s="25">
        <f t="shared" si="4"/>
        <v>0.02467101525880438</v>
      </c>
      <c r="N17" s="10"/>
      <c r="R17" s="2"/>
    </row>
    <row r="18" spans="1:18" ht="15">
      <c r="A18" s="19"/>
      <c r="B18" s="20">
        <f>DATE(2016,4,1)</f>
        <v>42461</v>
      </c>
      <c r="C18" s="21">
        <v>305373</v>
      </c>
      <c r="D18" s="22">
        <v>270252</v>
      </c>
      <c r="E18" s="23">
        <f t="shared" si="0"/>
        <v>0.12995648505838994</v>
      </c>
      <c r="F18" s="21">
        <f>+C18-149374</f>
        <v>155999</v>
      </c>
      <c r="G18" s="21">
        <f>+D18-131915</f>
        <v>138337</v>
      </c>
      <c r="H18" s="23">
        <f t="shared" si="1"/>
        <v>0.1276737243109219</v>
      </c>
      <c r="I18" s="24">
        <f t="shared" si="2"/>
        <v>45.931885661142275</v>
      </c>
      <c r="J18" s="24">
        <f t="shared" si="3"/>
        <v>89.91312585337086</v>
      </c>
      <c r="K18" s="21">
        <v>14026357.72</v>
      </c>
      <c r="L18" s="21">
        <v>12362378.67</v>
      </c>
      <c r="M18" s="25">
        <f t="shared" si="4"/>
        <v>0.13460023304722155</v>
      </c>
      <c r="N18" s="10"/>
      <c r="R18" s="2"/>
    </row>
    <row r="19" spans="1:18" ht="15">
      <c r="A19" s="19"/>
      <c r="B19" s="20">
        <f>DATE(2016,5,1)</f>
        <v>42491</v>
      </c>
      <c r="C19" s="21">
        <v>294498</v>
      </c>
      <c r="D19" s="22">
        <v>294991</v>
      </c>
      <c r="E19" s="23">
        <f t="shared" si="0"/>
        <v>-0.0016712374275825363</v>
      </c>
      <c r="F19" s="21">
        <f>+C19-143534</f>
        <v>150964</v>
      </c>
      <c r="G19" s="21">
        <f>+D19-143936</f>
        <v>151055</v>
      </c>
      <c r="H19" s="23">
        <f t="shared" si="1"/>
        <v>-0.0006024295786303002</v>
      </c>
      <c r="I19" s="24">
        <f t="shared" si="2"/>
        <v>44.613219580438574</v>
      </c>
      <c r="J19" s="24">
        <f t="shared" si="3"/>
        <v>87.03070891073368</v>
      </c>
      <c r="K19" s="21">
        <v>13138503.94</v>
      </c>
      <c r="L19" s="21">
        <v>13302005.78</v>
      </c>
      <c r="M19" s="25">
        <f t="shared" si="4"/>
        <v>-0.012291517738312083</v>
      </c>
      <c r="N19" s="10"/>
      <c r="R19" s="2"/>
    </row>
    <row r="20" spans="1:18" ht="15">
      <c r="A20" s="19"/>
      <c r="B20" s="20">
        <f>DATE(2016,6,1)</f>
        <v>42522</v>
      </c>
      <c r="C20" s="21">
        <v>267026</v>
      </c>
      <c r="D20" s="22">
        <v>254153</v>
      </c>
      <c r="E20" s="23">
        <f t="shared" si="0"/>
        <v>0.050650592359720324</v>
      </c>
      <c r="F20" s="21">
        <f>+C20-127524</f>
        <v>139502</v>
      </c>
      <c r="G20" s="21">
        <f>+D20-122206</f>
        <v>131947</v>
      </c>
      <c r="H20" s="23">
        <f t="shared" si="1"/>
        <v>0.057257838374498854</v>
      </c>
      <c r="I20" s="24">
        <f t="shared" si="2"/>
        <v>44.28702942784598</v>
      </c>
      <c r="J20" s="24">
        <f t="shared" si="3"/>
        <v>84.77146076758757</v>
      </c>
      <c r="K20" s="21">
        <v>11825788.32</v>
      </c>
      <c r="L20" s="21">
        <v>11204000.83</v>
      </c>
      <c r="M20" s="25">
        <f t="shared" si="4"/>
        <v>0.05549691573880401</v>
      </c>
      <c r="N20" s="10"/>
      <c r="R20" s="2"/>
    </row>
    <row r="21" spans="1:18" ht="15.75" customHeight="1" thickBot="1">
      <c r="A21" s="19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6.5" thickBot="1" thickTop="1">
      <c r="A22" s="26" t="s">
        <v>14</v>
      </c>
      <c r="B22" s="27"/>
      <c r="C22" s="28">
        <f>SUM(C9:C21)</f>
        <v>3406467</v>
      </c>
      <c r="D22" s="28">
        <f>SUM(D9:D21)</f>
        <v>3268405</v>
      </c>
      <c r="E22" s="279">
        <f>(+C22-D22)/D22</f>
        <v>0.04224139909221777</v>
      </c>
      <c r="F22" s="28">
        <f>SUM(F9:F21)</f>
        <v>1754525</v>
      </c>
      <c r="G22" s="28">
        <f>SUM(G9:G21)</f>
        <v>1680836</v>
      </c>
      <c r="H22" s="30">
        <f>(+F22-G22)/G22</f>
        <v>0.04384068404056077</v>
      </c>
      <c r="I22" s="31">
        <f>K22/C22</f>
        <v>44.379177141595676</v>
      </c>
      <c r="J22" s="31">
        <f>K22/F22</f>
        <v>86.16360691355209</v>
      </c>
      <c r="K22" s="28">
        <f>SUM(K9:K21)</f>
        <v>151176202.42</v>
      </c>
      <c r="L22" s="28">
        <f>SUM(L9:L21)</f>
        <v>141793576.22000003</v>
      </c>
      <c r="M22" s="32">
        <f>(+K22-L22)/L22</f>
        <v>0.0661710244577112</v>
      </c>
      <c r="N22" s="10"/>
      <c r="R22" s="2"/>
    </row>
    <row r="23" spans="1:18" ht="15.75" customHeight="1" thickTop="1">
      <c r="A23" s="15"/>
      <c r="B23" s="16"/>
      <c r="C23" s="16"/>
      <c r="D23" s="16"/>
      <c r="E23" s="17"/>
      <c r="F23" s="16"/>
      <c r="G23" s="16"/>
      <c r="H23" s="17"/>
      <c r="I23" s="16"/>
      <c r="J23" s="16"/>
      <c r="K23" s="195"/>
      <c r="L23" s="195"/>
      <c r="M23" s="18"/>
      <c r="N23" s="10"/>
      <c r="R23" s="2"/>
    </row>
    <row r="24" spans="1:18" ht="15">
      <c r="A24" s="19" t="s">
        <v>15</v>
      </c>
      <c r="B24" s="20">
        <f>DATE(2015,7,1)</f>
        <v>42186</v>
      </c>
      <c r="C24" s="21">
        <v>164324</v>
      </c>
      <c r="D24" s="21">
        <v>174037</v>
      </c>
      <c r="E24" s="23">
        <f aca="true" t="shared" si="5" ref="E24:E35">(+C24-D24)/D24</f>
        <v>-0.05580997144285411</v>
      </c>
      <c r="F24" s="21">
        <f>+C24-76751</f>
        <v>87573</v>
      </c>
      <c r="G24" s="21">
        <f>+D24-81593</f>
        <v>92444</v>
      </c>
      <c r="H24" s="23">
        <f aca="true" t="shared" si="6" ref="H24:H35">(+F24-G24)/G24</f>
        <v>-0.052691359093072564</v>
      </c>
      <c r="I24" s="24">
        <f aca="true" t="shared" si="7" ref="I24:I35">K24/C24</f>
        <v>43.29568687471094</v>
      </c>
      <c r="J24" s="24">
        <f aca="true" t="shared" si="8" ref="J24:J35">K24/F24</f>
        <v>81.24102691468832</v>
      </c>
      <c r="K24" s="21">
        <v>7114520.45</v>
      </c>
      <c r="L24" s="21">
        <v>6930881.36</v>
      </c>
      <c r="M24" s="25">
        <f aca="true" t="shared" si="9" ref="M24:M35">(+K24-L24)/L24</f>
        <v>0.026495777443231238</v>
      </c>
      <c r="N24" s="10"/>
      <c r="R24" s="2"/>
    </row>
    <row r="25" spans="1:18" ht="15">
      <c r="A25" s="19"/>
      <c r="B25" s="20">
        <f>DATE(2015,8,1)</f>
        <v>42217</v>
      </c>
      <c r="C25" s="21">
        <v>158974</v>
      </c>
      <c r="D25" s="21">
        <v>180474</v>
      </c>
      <c r="E25" s="23">
        <f t="shared" si="5"/>
        <v>-0.11913073351286058</v>
      </c>
      <c r="F25" s="21">
        <f>+C25-74515</f>
        <v>84459</v>
      </c>
      <c r="G25" s="21">
        <f>+D25-84762</f>
        <v>95712</v>
      </c>
      <c r="H25" s="23">
        <f t="shared" si="6"/>
        <v>-0.11757146439317955</v>
      </c>
      <c r="I25" s="24">
        <f t="shared" si="7"/>
        <v>43.06633342559161</v>
      </c>
      <c r="J25" s="24">
        <f t="shared" si="8"/>
        <v>81.06214009164209</v>
      </c>
      <c r="K25" s="21">
        <v>6846427.29</v>
      </c>
      <c r="L25" s="21">
        <v>7164391.37</v>
      </c>
      <c r="M25" s="25">
        <f t="shared" si="9"/>
        <v>-0.04438117120896483</v>
      </c>
      <c r="N25" s="10"/>
      <c r="R25" s="2"/>
    </row>
    <row r="26" spans="1:18" ht="15">
      <c r="A26" s="19"/>
      <c r="B26" s="20">
        <f>DATE(2015,9,1)</f>
        <v>42248</v>
      </c>
      <c r="C26" s="21">
        <v>146143</v>
      </c>
      <c r="D26" s="21">
        <v>159026</v>
      </c>
      <c r="E26" s="23">
        <f t="shared" si="5"/>
        <v>-0.08101191000213802</v>
      </c>
      <c r="F26" s="21">
        <f>+C26-69315</f>
        <v>76828</v>
      </c>
      <c r="G26" s="21">
        <f>+D26-73696</f>
        <v>85330</v>
      </c>
      <c r="H26" s="23">
        <f t="shared" si="6"/>
        <v>-0.09963670455877183</v>
      </c>
      <c r="I26" s="24">
        <f t="shared" si="7"/>
        <v>43.931682119567824</v>
      </c>
      <c r="J26" s="24">
        <f t="shared" si="8"/>
        <v>83.5672908314677</v>
      </c>
      <c r="K26" s="21">
        <v>6420307.82</v>
      </c>
      <c r="L26" s="21">
        <v>6588351.74</v>
      </c>
      <c r="M26" s="25">
        <f t="shared" si="9"/>
        <v>-0.025506215610765177</v>
      </c>
      <c r="N26" s="10"/>
      <c r="R26" s="2"/>
    </row>
    <row r="27" spans="1:18" ht="15">
      <c r="A27" s="19"/>
      <c r="B27" s="20">
        <f>DATE(2015,10,1)</f>
        <v>42278</v>
      </c>
      <c r="C27" s="21">
        <v>149295</v>
      </c>
      <c r="D27" s="21">
        <v>161024</v>
      </c>
      <c r="E27" s="23">
        <f t="shared" si="5"/>
        <v>-0.07284007352941177</v>
      </c>
      <c r="F27" s="21">
        <f>+C27-72382</f>
        <v>76913</v>
      </c>
      <c r="G27" s="21">
        <f>+D27-74934</f>
        <v>86090</v>
      </c>
      <c r="H27" s="23">
        <f t="shared" si="6"/>
        <v>-0.10659774654431409</v>
      </c>
      <c r="I27" s="24">
        <f t="shared" si="7"/>
        <v>44.381484778458756</v>
      </c>
      <c r="J27" s="24">
        <f t="shared" si="8"/>
        <v>86.14842445360341</v>
      </c>
      <c r="K27" s="21">
        <v>6625933.77</v>
      </c>
      <c r="L27" s="21">
        <v>6490398.22</v>
      </c>
      <c r="M27" s="25">
        <f t="shared" si="9"/>
        <v>0.02088247059823701</v>
      </c>
      <c r="N27" s="10"/>
      <c r="R27" s="2"/>
    </row>
    <row r="28" spans="1:18" ht="15">
      <c r="A28" s="19"/>
      <c r="B28" s="20">
        <f>DATE(2015,11,1)</f>
        <v>42309</v>
      </c>
      <c r="C28" s="21">
        <v>138269</v>
      </c>
      <c r="D28" s="21">
        <v>153994</v>
      </c>
      <c r="E28" s="23">
        <f t="shared" si="5"/>
        <v>-0.10211436809226333</v>
      </c>
      <c r="F28" s="21">
        <f>+C28-67034</f>
        <v>71235</v>
      </c>
      <c r="G28" s="21">
        <f>+D28-72262</f>
        <v>81732</v>
      </c>
      <c r="H28" s="23">
        <f t="shared" si="6"/>
        <v>-0.1284319483188959</v>
      </c>
      <c r="I28" s="24">
        <f t="shared" si="7"/>
        <v>46.0443455872249</v>
      </c>
      <c r="J28" s="24">
        <f t="shared" si="8"/>
        <v>89.37328026953043</v>
      </c>
      <c r="K28" s="21">
        <v>6366505.62</v>
      </c>
      <c r="L28" s="21">
        <v>6234182.45</v>
      </c>
      <c r="M28" s="25">
        <f t="shared" si="9"/>
        <v>0.021225424674569785</v>
      </c>
      <c r="N28" s="10"/>
      <c r="R28" s="2"/>
    </row>
    <row r="29" spans="1:18" ht="15">
      <c r="A29" s="19"/>
      <c r="B29" s="20">
        <f>DATE(2015,12,1)</f>
        <v>42339</v>
      </c>
      <c r="C29" s="21">
        <v>149803</v>
      </c>
      <c r="D29" s="21">
        <v>151844</v>
      </c>
      <c r="E29" s="23">
        <f t="shared" si="5"/>
        <v>-0.013441426727430783</v>
      </c>
      <c r="F29" s="21">
        <f>+C29-72449</f>
        <v>77354</v>
      </c>
      <c r="G29" s="21">
        <f>+D29-71266</f>
        <v>80578</v>
      </c>
      <c r="H29" s="23">
        <f t="shared" si="6"/>
        <v>-0.04001092109508799</v>
      </c>
      <c r="I29" s="24">
        <f t="shared" si="7"/>
        <v>44.63998251036361</v>
      </c>
      <c r="J29" s="24">
        <f t="shared" si="8"/>
        <v>86.44935362101508</v>
      </c>
      <c r="K29" s="21">
        <v>6687203.3</v>
      </c>
      <c r="L29" s="21">
        <v>6395584.21</v>
      </c>
      <c r="M29" s="25">
        <f t="shared" si="9"/>
        <v>0.04559694320716322</v>
      </c>
      <c r="N29" s="10"/>
      <c r="R29" s="2"/>
    </row>
    <row r="30" spans="1:18" ht="15">
      <c r="A30" s="19"/>
      <c r="B30" s="20">
        <f>DATE(2016,1,1)</f>
        <v>42370</v>
      </c>
      <c r="C30" s="21">
        <v>146263</v>
      </c>
      <c r="D30" s="21">
        <v>165473</v>
      </c>
      <c r="E30" s="23">
        <f t="shared" si="5"/>
        <v>-0.11609144694300581</v>
      </c>
      <c r="F30" s="21">
        <f>+C30-72009</f>
        <v>74254</v>
      </c>
      <c r="G30" s="21">
        <f>+D30-80370</f>
        <v>85103</v>
      </c>
      <c r="H30" s="23">
        <f t="shared" si="6"/>
        <v>-0.12748081736249015</v>
      </c>
      <c r="I30" s="24">
        <f t="shared" si="7"/>
        <v>44.680251669937036</v>
      </c>
      <c r="J30" s="24">
        <f t="shared" si="8"/>
        <v>88.00963786462682</v>
      </c>
      <c r="K30" s="21">
        <v>6535067.65</v>
      </c>
      <c r="L30" s="21">
        <v>6978043.21</v>
      </c>
      <c r="M30" s="25">
        <f t="shared" si="9"/>
        <v>-0.06348134379064695</v>
      </c>
      <c r="N30" s="10"/>
      <c r="R30" s="2"/>
    </row>
    <row r="31" spans="1:18" ht="15">
      <c r="A31" s="19"/>
      <c r="B31" s="20">
        <f>DATE(2016,2,1)</f>
        <v>42401</v>
      </c>
      <c r="C31" s="21">
        <v>156568</v>
      </c>
      <c r="D31" s="21">
        <v>149542</v>
      </c>
      <c r="E31" s="23">
        <f t="shared" si="5"/>
        <v>0.046983456152786505</v>
      </c>
      <c r="F31" s="21">
        <f>+C31-76115</f>
        <v>80453</v>
      </c>
      <c r="G31" s="21">
        <f>+D31-71313</f>
        <v>78229</v>
      </c>
      <c r="H31" s="23">
        <f t="shared" si="6"/>
        <v>0.02842935484283322</v>
      </c>
      <c r="I31" s="24">
        <f t="shared" si="7"/>
        <v>45.22485354606305</v>
      </c>
      <c r="J31" s="24">
        <f t="shared" si="8"/>
        <v>88.01119746932991</v>
      </c>
      <c r="K31" s="21">
        <v>7080764.87</v>
      </c>
      <c r="L31" s="21">
        <v>6450002.42</v>
      </c>
      <c r="M31" s="25">
        <f t="shared" si="9"/>
        <v>0.09779259121580301</v>
      </c>
      <c r="N31" s="10"/>
      <c r="R31" s="2"/>
    </row>
    <row r="32" spans="1:18" ht="15">
      <c r="A32" s="19"/>
      <c r="B32" s="20">
        <f>DATE(2016,3,1)</f>
        <v>42430</v>
      </c>
      <c r="C32" s="21">
        <v>158192</v>
      </c>
      <c r="D32" s="21">
        <v>167002</v>
      </c>
      <c r="E32" s="23">
        <f t="shared" si="5"/>
        <v>-0.05275385923521874</v>
      </c>
      <c r="F32" s="21">
        <f>+C32-77276</f>
        <v>80916</v>
      </c>
      <c r="G32" s="21">
        <f>+D32-79785</f>
        <v>87217</v>
      </c>
      <c r="H32" s="23">
        <f t="shared" si="6"/>
        <v>-0.07224508983340404</v>
      </c>
      <c r="I32" s="24">
        <f t="shared" si="7"/>
        <v>44.831208278547585</v>
      </c>
      <c r="J32" s="24">
        <f t="shared" si="8"/>
        <v>87.64568812101439</v>
      </c>
      <c r="K32" s="21">
        <v>7091938.5</v>
      </c>
      <c r="L32" s="21">
        <v>7380332.55</v>
      </c>
      <c r="M32" s="25">
        <f t="shared" si="9"/>
        <v>-0.03907602374909242</v>
      </c>
      <c r="N32" s="10"/>
      <c r="R32" s="2"/>
    </row>
    <row r="33" spans="1:18" ht="15">
      <c r="A33" s="19"/>
      <c r="B33" s="20">
        <f>DATE(2016,4,1)</f>
        <v>42461</v>
      </c>
      <c r="C33" s="21">
        <v>152978</v>
      </c>
      <c r="D33" s="21">
        <v>152485</v>
      </c>
      <c r="E33" s="23">
        <f t="shared" si="5"/>
        <v>0.003233104895563498</v>
      </c>
      <c r="F33" s="21">
        <f>+C33-74749</f>
        <v>78229</v>
      </c>
      <c r="G33" s="21">
        <f>+D33-73178</f>
        <v>79307</v>
      </c>
      <c r="H33" s="23">
        <f t="shared" si="6"/>
        <v>-0.013592747172380749</v>
      </c>
      <c r="I33" s="24">
        <f t="shared" si="7"/>
        <v>47.81685261933089</v>
      </c>
      <c r="J33" s="24">
        <f t="shared" si="8"/>
        <v>93.50658298073606</v>
      </c>
      <c r="K33" s="21">
        <v>7314926.48</v>
      </c>
      <c r="L33" s="21">
        <v>6582620.53</v>
      </c>
      <c r="M33" s="25">
        <f t="shared" si="9"/>
        <v>0.11124839213540388</v>
      </c>
      <c r="N33" s="10"/>
      <c r="R33" s="2"/>
    </row>
    <row r="34" spans="1:18" ht="15">
      <c r="A34" s="19"/>
      <c r="B34" s="20">
        <f>DATE(2016,5,1)</f>
        <v>42491</v>
      </c>
      <c r="C34" s="21">
        <v>148216</v>
      </c>
      <c r="D34" s="21">
        <v>174908</v>
      </c>
      <c r="E34" s="23">
        <f t="shared" si="5"/>
        <v>-0.15260594140919798</v>
      </c>
      <c r="F34" s="21">
        <f>+C34-71712</f>
        <v>76504</v>
      </c>
      <c r="G34" s="21">
        <f>+D34-84102</f>
        <v>90806</v>
      </c>
      <c r="H34" s="23">
        <f t="shared" si="6"/>
        <v>-0.1575006056868489</v>
      </c>
      <c r="I34" s="24">
        <f t="shared" si="7"/>
        <v>46.331399781400116</v>
      </c>
      <c r="J34" s="24">
        <f t="shared" si="8"/>
        <v>89.76072819721844</v>
      </c>
      <c r="K34" s="21">
        <v>6867054.75</v>
      </c>
      <c r="L34" s="21">
        <v>7800213.59</v>
      </c>
      <c r="M34" s="25">
        <f t="shared" si="9"/>
        <v>-0.11963247278206902</v>
      </c>
      <c r="N34" s="10"/>
      <c r="R34" s="2"/>
    </row>
    <row r="35" spans="1:18" ht="15">
      <c r="A35" s="19"/>
      <c r="B35" s="20">
        <f>DATE(2016,6,1)</f>
        <v>42522</v>
      </c>
      <c r="C35" s="21">
        <v>146910</v>
      </c>
      <c r="D35" s="21">
        <v>152295</v>
      </c>
      <c r="E35" s="23">
        <f t="shared" si="5"/>
        <v>-0.0353590071899931</v>
      </c>
      <c r="F35" s="21">
        <f>+C35-70026</f>
        <v>76884</v>
      </c>
      <c r="G35" s="21">
        <f>+D35-71758</f>
        <v>80537</v>
      </c>
      <c r="H35" s="23">
        <f t="shared" si="6"/>
        <v>-0.04535803419546296</v>
      </c>
      <c r="I35" s="24">
        <f t="shared" si="7"/>
        <v>44.99565693281601</v>
      </c>
      <c r="J35" s="24">
        <f t="shared" si="8"/>
        <v>85.97773216794131</v>
      </c>
      <c r="K35" s="21">
        <v>6610311.96</v>
      </c>
      <c r="L35" s="21">
        <v>6608154.7</v>
      </c>
      <c r="M35" s="25">
        <f t="shared" si="9"/>
        <v>0.00032645422178142656</v>
      </c>
      <c r="N35" s="10"/>
      <c r="R35" s="2"/>
    </row>
    <row r="36" spans="1:18" ht="15.75" customHeight="1" thickBot="1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26" t="s">
        <v>14</v>
      </c>
      <c r="B37" s="27"/>
      <c r="C37" s="28">
        <f>SUM(C24:C36)</f>
        <v>1815935</v>
      </c>
      <c r="D37" s="28">
        <f>SUM(D24:D36)</f>
        <v>1942104</v>
      </c>
      <c r="E37" s="279">
        <f>(+C37-D37)/D37</f>
        <v>-0.06496511000440759</v>
      </c>
      <c r="F37" s="28">
        <f>SUM(F24:F36)</f>
        <v>941602</v>
      </c>
      <c r="G37" s="28">
        <f>SUM(G24:G36)</f>
        <v>1023085</v>
      </c>
      <c r="H37" s="30">
        <f>(+F37-G37)/G37</f>
        <v>-0.07964440882233637</v>
      </c>
      <c r="I37" s="31">
        <f>K37/C37</f>
        <v>44.91403186788073</v>
      </c>
      <c r="J37" s="31">
        <f>K37/F37</f>
        <v>86.61935983568428</v>
      </c>
      <c r="K37" s="28">
        <f>SUM(K24:K36)</f>
        <v>81560962.46</v>
      </c>
      <c r="L37" s="28">
        <f>SUM(L24:L36)</f>
        <v>81603156.35</v>
      </c>
      <c r="M37" s="32">
        <f>(+K37-L37)/L37</f>
        <v>-0.0005170619849436816</v>
      </c>
      <c r="N37" s="10"/>
      <c r="R37" s="2"/>
    </row>
    <row r="38" spans="1:18" ht="15.75" customHeight="1" thickTop="1">
      <c r="A38" s="33"/>
      <c r="B38" s="34"/>
      <c r="C38" s="35"/>
      <c r="D38" s="35"/>
      <c r="E38" s="29"/>
      <c r="F38" s="35"/>
      <c r="G38" s="35"/>
      <c r="H38" s="29"/>
      <c r="I38" s="36"/>
      <c r="J38" s="36"/>
      <c r="K38" s="35"/>
      <c r="L38" s="35"/>
      <c r="M38" s="37"/>
      <c r="N38" s="10"/>
      <c r="R38" s="2"/>
    </row>
    <row r="39" spans="1:18" ht="15.75" customHeight="1">
      <c r="A39" s="19" t="s">
        <v>56</v>
      </c>
      <c r="B39" s="20">
        <f>DATE(2015,7,1)</f>
        <v>42186</v>
      </c>
      <c r="C39" s="21">
        <v>78226</v>
      </c>
      <c r="D39" s="21">
        <v>72401</v>
      </c>
      <c r="E39" s="23">
        <f aca="true" t="shared" si="10" ref="E39:E50">(+C39-D39)/D39</f>
        <v>0.0804546898523501</v>
      </c>
      <c r="F39" s="21">
        <f>+C39-41895</f>
        <v>36331</v>
      </c>
      <c r="G39" s="21">
        <f>+D39-40333</f>
        <v>32068</v>
      </c>
      <c r="H39" s="23">
        <f aca="true" t="shared" si="11" ref="H39:H50">(+F39-G39)/G39</f>
        <v>0.13293626044655107</v>
      </c>
      <c r="I39" s="24">
        <f aca="true" t="shared" si="12" ref="I39:I50">K39/C39</f>
        <v>40.233931812952214</v>
      </c>
      <c r="J39" s="24">
        <f aca="true" t="shared" si="13" ref="J39:J50">K39/F39</f>
        <v>86.62958767994274</v>
      </c>
      <c r="K39" s="21">
        <v>3147339.55</v>
      </c>
      <c r="L39" s="21">
        <v>2763636.3</v>
      </c>
      <c r="M39" s="25">
        <f aca="true" t="shared" si="14" ref="M39:M50">(+K39-L39)/L39</f>
        <v>0.13883999497328936</v>
      </c>
      <c r="N39" s="10"/>
      <c r="R39" s="2"/>
    </row>
    <row r="40" spans="1:18" ht="15.75" customHeight="1">
      <c r="A40" s="19"/>
      <c r="B40" s="20">
        <f>DATE(2015,8,1)</f>
        <v>42217</v>
      </c>
      <c r="C40" s="21">
        <v>76190</v>
      </c>
      <c r="D40" s="21">
        <v>78277</v>
      </c>
      <c r="E40" s="23">
        <f t="shared" si="10"/>
        <v>-0.02666172694405764</v>
      </c>
      <c r="F40" s="21">
        <f>+C40-42305</f>
        <v>33885</v>
      </c>
      <c r="G40" s="21">
        <f>+D40-44305</f>
        <v>33972</v>
      </c>
      <c r="H40" s="23">
        <f t="shared" si="11"/>
        <v>-0.0025609325326739667</v>
      </c>
      <c r="I40" s="24">
        <f t="shared" si="12"/>
        <v>39.02278015487597</v>
      </c>
      <c r="J40" s="24">
        <f t="shared" si="13"/>
        <v>87.7422346170872</v>
      </c>
      <c r="K40" s="21">
        <v>2973145.62</v>
      </c>
      <c r="L40" s="21">
        <v>2998372.97</v>
      </c>
      <c r="M40" s="25">
        <f t="shared" si="14"/>
        <v>-0.008413679769798649</v>
      </c>
      <c r="N40" s="10"/>
      <c r="R40" s="2"/>
    </row>
    <row r="41" spans="1:18" ht="15.75" customHeight="1">
      <c r="A41" s="19"/>
      <c r="B41" s="20">
        <f>DATE(2015,9,1)</f>
        <v>42248</v>
      </c>
      <c r="C41" s="21">
        <v>75613</v>
      </c>
      <c r="D41" s="21">
        <v>63778</v>
      </c>
      <c r="E41" s="23">
        <f t="shared" si="10"/>
        <v>0.18556555552071247</v>
      </c>
      <c r="F41" s="21">
        <f>+C41-41529</f>
        <v>34084</v>
      </c>
      <c r="G41" s="21">
        <f>+D41-35884</f>
        <v>27894</v>
      </c>
      <c r="H41" s="23">
        <f t="shared" si="11"/>
        <v>0.22191152219115223</v>
      </c>
      <c r="I41" s="24">
        <f t="shared" si="12"/>
        <v>38.98131062118948</v>
      </c>
      <c r="J41" s="24">
        <f t="shared" si="13"/>
        <v>86.47734538199741</v>
      </c>
      <c r="K41" s="21">
        <v>2947493.84</v>
      </c>
      <c r="L41" s="21">
        <v>2596370.28</v>
      </c>
      <c r="M41" s="25">
        <f t="shared" si="14"/>
        <v>0.13523631922023083</v>
      </c>
      <c r="N41" s="10"/>
      <c r="R41" s="2"/>
    </row>
    <row r="42" spans="1:18" ht="15.75" customHeight="1">
      <c r="A42" s="19"/>
      <c r="B42" s="20">
        <f>DATE(2015,10,1)</f>
        <v>42278</v>
      </c>
      <c r="C42" s="21">
        <v>72400</v>
      </c>
      <c r="D42" s="21">
        <v>68120</v>
      </c>
      <c r="E42" s="23">
        <f t="shared" si="10"/>
        <v>0.06283029947152084</v>
      </c>
      <c r="F42" s="21">
        <f>+C42-40475</f>
        <v>31925</v>
      </c>
      <c r="G42" s="21">
        <f>+D42-39168</f>
        <v>28952</v>
      </c>
      <c r="H42" s="23">
        <f t="shared" si="11"/>
        <v>0.10268720641061066</v>
      </c>
      <c r="I42" s="24">
        <f t="shared" si="12"/>
        <v>42.732071961325964</v>
      </c>
      <c r="J42" s="24">
        <f t="shared" si="13"/>
        <v>96.90844197337509</v>
      </c>
      <c r="K42" s="21">
        <v>3093802.01</v>
      </c>
      <c r="L42" s="21">
        <v>2578417.74</v>
      </c>
      <c r="M42" s="25">
        <f t="shared" si="14"/>
        <v>0.19988392959164153</v>
      </c>
      <c r="N42" s="10"/>
      <c r="R42" s="2"/>
    </row>
    <row r="43" spans="1:18" ht="15.75" customHeight="1">
      <c r="A43" s="19"/>
      <c r="B43" s="20">
        <f>DATE(2015,11,1)</f>
        <v>42309</v>
      </c>
      <c r="C43" s="21">
        <v>68447</v>
      </c>
      <c r="D43" s="21">
        <v>70883</v>
      </c>
      <c r="E43" s="23">
        <f t="shared" si="10"/>
        <v>-0.034366491260245755</v>
      </c>
      <c r="F43" s="21">
        <f>+C43-38879</f>
        <v>29568</v>
      </c>
      <c r="G43" s="21">
        <f>+D43-40956</f>
        <v>29927</v>
      </c>
      <c r="H43" s="23">
        <f t="shared" si="11"/>
        <v>-0.011995856584355265</v>
      </c>
      <c r="I43" s="24">
        <f t="shared" si="12"/>
        <v>40.690499072274896</v>
      </c>
      <c r="J43" s="24">
        <f t="shared" si="13"/>
        <v>94.19448694534631</v>
      </c>
      <c r="K43" s="21">
        <v>2785142.59</v>
      </c>
      <c r="L43" s="21">
        <v>2753920.21</v>
      </c>
      <c r="M43" s="25">
        <f t="shared" si="14"/>
        <v>0.011337430869139048</v>
      </c>
      <c r="N43" s="10"/>
      <c r="R43" s="2"/>
    </row>
    <row r="44" spans="1:18" ht="15.75" customHeight="1">
      <c r="A44" s="19"/>
      <c r="B44" s="20">
        <f>DATE(2015,12,1)</f>
        <v>42339</v>
      </c>
      <c r="C44" s="21">
        <v>73848</v>
      </c>
      <c r="D44" s="21">
        <v>72435</v>
      </c>
      <c r="E44" s="23">
        <f t="shared" si="10"/>
        <v>0.01950714433630151</v>
      </c>
      <c r="F44" s="21">
        <f>+C44-41427</f>
        <v>32421</v>
      </c>
      <c r="G44" s="21">
        <f>+D44-41824</f>
        <v>30611</v>
      </c>
      <c r="H44" s="23">
        <f t="shared" si="11"/>
        <v>0.059129071248897457</v>
      </c>
      <c r="I44" s="24">
        <f t="shared" si="12"/>
        <v>41.04014407973134</v>
      </c>
      <c r="J44" s="24">
        <f t="shared" si="13"/>
        <v>93.48053915671942</v>
      </c>
      <c r="K44" s="21">
        <v>3030732.56</v>
      </c>
      <c r="L44" s="21">
        <v>2781471.67</v>
      </c>
      <c r="M44" s="25">
        <f t="shared" si="14"/>
        <v>0.0896147505971183</v>
      </c>
      <c r="N44" s="10"/>
      <c r="R44" s="2"/>
    </row>
    <row r="45" spans="1:18" ht="15.75" customHeight="1">
      <c r="A45" s="19"/>
      <c r="B45" s="20">
        <f>DATE(2016,1,1)</f>
        <v>42370</v>
      </c>
      <c r="C45" s="21">
        <v>66376</v>
      </c>
      <c r="D45" s="21">
        <v>73408</v>
      </c>
      <c r="E45" s="23">
        <f t="shared" si="10"/>
        <v>-0.09579337401918048</v>
      </c>
      <c r="F45" s="21">
        <f>+C45-37573</f>
        <v>28803</v>
      </c>
      <c r="G45" s="21">
        <f>+D45-42874</f>
        <v>30534</v>
      </c>
      <c r="H45" s="23">
        <f t="shared" si="11"/>
        <v>-0.05669090194537237</v>
      </c>
      <c r="I45" s="24">
        <f t="shared" si="12"/>
        <v>40.85852552127275</v>
      </c>
      <c r="J45" s="24">
        <f t="shared" si="13"/>
        <v>94.15774363781551</v>
      </c>
      <c r="K45" s="21">
        <v>2712025.49</v>
      </c>
      <c r="L45" s="21">
        <v>2810148.3</v>
      </c>
      <c r="M45" s="25">
        <f t="shared" si="14"/>
        <v>-0.03491730667737343</v>
      </c>
      <c r="N45" s="10"/>
      <c r="R45" s="2"/>
    </row>
    <row r="46" spans="1:18" ht="15.75" customHeight="1">
      <c r="A46" s="19"/>
      <c r="B46" s="20">
        <f>DATE(2016,2,1)</f>
        <v>42401</v>
      </c>
      <c r="C46" s="21">
        <v>78870</v>
      </c>
      <c r="D46" s="21">
        <v>72753</v>
      </c>
      <c r="E46" s="23">
        <f t="shared" si="10"/>
        <v>0.08407900705125562</v>
      </c>
      <c r="F46" s="21">
        <f>+C46-45736</f>
        <v>33134</v>
      </c>
      <c r="G46" s="21">
        <f>+D46-42860</f>
        <v>29893</v>
      </c>
      <c r="H46" s="23">
        <f t="shared" si="11"/>
        <v>0.10842003144548891</v>
      </c>
      <c r="I46" s="24">
        <f t="shared" si="12"/>
        <v>44.51846316723722</v>
      </c>
      <c r="J46" s="24">
        <f t="shared" si="13"/>
        <v>105.96882929920928</v>
      </c>
      <c r="K46" s="21">
        <v>3511171.19</v>
      </c>
      <c r="L46" s="21">
        <v>2894589.75</v>
      </c>
      <c r="M46" s="25">
        <f t="shared" si="14"/>
        <v>0.21301168498921133</v>
      </c>
      <c r="N46" s="10"/>
      <c r="R46" s="2"/>
    </row>
    <row r="47" spans="1:18" ht="15.75" customHeight="1">
      <c r="A47" s="19"/>
      <c r="B47" s="20">
        <f>DATE(2016,3,1)</f>
        <v>42430</v>
      </c>
      <c r="C47" s="21">
        <v>78666</v>
      </c>
      <c r="D47" s="21">
        <v>75547</v>
      </c>
      <c r="E47" s="23">
        <f t="shared" si="10"/>
        <v>0.04128555733516884</v>
      </c>
      <c r="F47" s="21">
        <f>+C47-44478</f>
        <v>34188</v>
      </c>
      <c r="G47" s="21">
        <f>+D47-42761</f>
        <v>32786</v>
      </c>
      <c r="H47" s="23">
        <f t="shared" si="11"/>
        <v>0.04276215457817361</v>
      </c>
      <c r="I47" s="24">
        <f t="shared" si="12"/>
        <v>44.20675514199273</v>
      </c>
      <c r="J47" s="24">
        <f t="shared" si="13"/>
        <v>101.71898326898327</v>
      </c>
      <c r="K47" s="21">
        <v>3477568.6</v>
      </c>
      <c r="L47" s="21">
        <v>2958533.27</v>
      </c>
      <c r="M47" s="25">
        <f t="shared" si="14"/>
        <v>0.17543670549968163</v>
      </c>
      <c r="N47" s="10"/>
      <c r="R47" s="2"/>
    </row>
    <row r="48" spans="1:18" ht="15.75" customHeight="1">
      <c r="A48" s="19"/>
      <c r="B48" s="20">
        <f>DATE(2016,4,1)</f>
        <v>42461</v>
      </c>
      <c r="C48" s="21">
        <v>76110</v>
      </c>
      <c r="D48" s="21">
        <v>71691</v>
      </c>
      <c r="E48" s="23">
        <f t="shared" si="10"/>
        <v>0.06163953634347408</v>
      </c>
      <c r="F48" s="21">
        <f>+C48-42594</f>
        <v>33516</v>
      </c>
      <c r="G48" s="21">
        <f>+D48-40170</f>
        <v>31521</v>
      </c>
      <c r="H48" s="23">
        <f t="shared" si="11"/>
        <v>0.06329113924050633</v>
      </c>
      <c r="I48" s="24">
        <f t="shared" si="12"/>
        <v>43.594837077913546</v>
      </c>
      <c r="J48" s="24">
        <f t="shared" si="13"/>
        <v>98.99758473564864</v>
      </c>
      <c r="K48" s="21">
        <v>3318003.05</v>
      </c>
      <c r="L48" s="21">
        <v>2951325.53</v>
      </c>
      <c r="M48" s="25">
        <f t="shared" si="14"/>
        <v>0.12424163863753791</v>
      </c>
      <c r="N48" s="10"/>
      <c r="R48" s="2"/>
    </row>
    <row r="49" spans="1:18" ht="15.75" customHeight="1">
      <c r="A49" s="19"/>
      <c r="B49" s="20">
        <f>DATE(2016,5,1)</f>
        <v>42491</v>
      </c>
      <c r="C49" s="21">
        <v>74925</v>
      </c>
      <c r="D49" s="21">
        <v>82269</v>
      </c>
      <c r="E49" s="23">
        <f t="shared" si="10"/>
        <v>-0.08926813258943223</v>
      </c>
      <c r="F49" s="21">
        <f>+C49-41194</f>
        <v>33731</v>
      </c>
      <c r="G49" s="21">
        <f>+D49-46371</f>
        <v>35898</v>
      </c>
      <c r="H49" s="23">
        <f t="shared" si="11"/>
        <v>-0.06036547997102903</v>
      </c>
      <c r="I49" s="24">
        <f t="shared" si="12"/>
        <v>42.85077117117117</v>
      </c>
      <c r="J49" s="24">
        <f t="shared" si="13"/>
        <v>95.18229610743826</v>
      </c>
      <c r="K49" s="21">
        <v>3210594.03</v>
      </c>
      <c r="L49" s="21">
        <v>3250993.38</v>
      </c>
      <c r="M49" s="25">
        <f t="shared" si="14"/>
        <v>-0.012426770921323776</v>
      </c>
      <c r="N49" s="10"/>
      <c r="R49" s="2"/>
    </row>
    <row r="50" spans="1:18" ht="15.75" customHeight="1">
      <c r="A50" s="19"/>
      <c r="B50" s="20">
        <f>DATE(2016,6,1)</f>
        <v>42522</v>
      </c>
      <c r="C50" s="21">
        <v>71218</v>
      </c>
      <c r="D50" s="21">
        <v>70257</v>
      </c>
      <c r="E50" s="23">
        <f t="shared" si="10"/>
        <v>0.013678352334998648</v>
      </c>
      <c r="F50" s="21">
        <f>+C50-39569</f>
        <v>31649</v>
      </c>
      <c r="G50" s="21">
        <f>+D50-39209</f>
        <v>31048</v>
      </c>
      <c r="H50" s="23">
        <f t="shared" si="11"/>
        <v>0.019357124452460708</v>
      </c>
      <c r="I50" s="24">
        <f t="shared" si="12"/>
        <v>41.192618439158636</v>
      </c>
      <c r="J50" s="24">
        <f t="shared" si="13"/>
        <v>92.69347846693418</v>
      </c>
      <c r="K50" s="21">
        <v>2933655.9</v>
      </c>
      <c r="L50" s="21">
        <v>2873999.84</v>
      </c>
      <c r="M50" s="25">
        <f t="shared" si="14"/>
        <v>0.02075715494820628</v>
      </c>
      <c r="N50" s="10"/>
      <c r="R50" s="2"/>
    </row>
    <row r="51" spans="1:18" ht="15.75" customHeight="1" thickBot="1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customHeight="1" thickBot="1" thickTop="1">
      <c r="A52" s="39" t="s">
        <v>14</v>
      </c>
      <c r="B52" s="40"/>
      <c r="C52" s="41">
        <f>SUM(C39:C51)</f>
        <v>890889</v>
      </c>
      <c r="D52" s="41">
        <f>SUM(D39:D51)</f>
        <v>871819</v>
      </c>
      <c r="E52" s="280">
        <f>(+C52-D52)/D52</f>
        <v>0.021873806374947093</v>
      </c>
      <c r="F52" s="41">
        <f>SUM(F39:F51)</f>
        <v>393235</v>
      </c>
      <c r="G52" s="41">
        <f>SUM(G39:G51)</f>
        <v>375104</v>
      </c>
      <c r="H52" s="42">
        <f>(+F52-G52)/G52</f>
        <v>0.048335928169254395</v>
      </c>
      <c r="I52" s="43">
        <f>K52/C52</f>
        <v>41.68945225499473</v>
      </c>
      <c r="J52" s="43">
        <f>K52/F52</f>
        <v>94.4490557300342</v>
      </c>
      <c r="K52" s="41">
        <f>SUM(K39:K51)</f>
        <v>37140674.43</v>
      </c>
      <c r="L52" s="41">
        <f>SUM(L39:L51)</f>
        <v>34211779.239999995</v>
      </c>
      <c r="M52" s="44">
        <f>(+K52-L52)/L52</f>
        <v>0.0856107239981128</v>
      </c>
      <c r="N52" s="10"/>
      <c r="R52" s="2"/>
    </row>
    <row r="53" spans="1:18" ht="15.75" customHeight="1" thickTop="1">
      <c r="A53" s="38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 customHeight="1">
      <c r="A54" s="177" t="s">
        <v>65</v>
      </c>
      <c r="B54" s="20">
        <f>DATE(2015,7,1)</f>
        <v>42186</v>
      </c>
      <c r="C54" s="21">
        <v>494900</v>
      </c>
      <c r="D54" s="21">
        <v>421533</v>
      </c>
      <c r="E54" s="23">
        <f aca="true" t="shared" si="15" ref="E54:E65">(+C54-D54)/D54</f>
        <v>0.17404805792191833</v>
      </c>
      <c r="F54" s="21">
        <f>+C54-253523</f>
        <v>241377</v>
      </c>
      <c r="G54" s="21">
        <f>+D54-215434</f>
        <v>206099</v>
      </c>
      <c r="H54" s="23">
        <f aca="true" t="shared" si="16" ref="H54:H65">(+F54-G54)/G54</f>
        <v>0.17117016579410865</v>
      </c>
      <c r="I54" s="24">
        <f aca="true" t="shared" si="17" ref="I54:I65">K54/C54</f>
        <v>42.1644828854314</v>
      </c>
      <c r="J54" s="24">
        <f aca="true" t="shared" si="18" ref="J54:J65">K54/F54</f>
        <v>86.45066671638142</v>
      </c>
      <c r="K54" s="21">
        <v>20867202.58</v>
      </c>
      <c r="L54" s="21">
        <v>19047462.93</v>
      </c>
      <c r="M54" s="25">
        <f aca="true" t="shared" si="19" ref="M54:M65">(+K54-L54)/L54</f>
        <v>0.09553711466391071</v>
      </c>
      <c r="N54" s="10"/>
      <c r="R54" s="2"/>
    </row>
    <row r="55" spans="1:18" ht="15.75" customHeight="1">
      <c r="A55" s="177"/>
      <c r="B55" s="20">
        <f>DATE(2015,8,1)</f>
        <v>42217</v>
      </c>
      <c r="C55" s="21">
        <v>472774</v>
      </c>
      <c r="D55" s="21">
        <v>422369</v>
      </c>
      <c r="E55" s="23">
        <f t="shared" si="15"/>
        <v>0.1193387772303365</v>
      </c>
      <c r="F55" s="21">
        <f>+C55-244366</f>
        <v>228408</v>
      </c>
      <c r="G55" s="21">
        <f>+D55-216914</f>
        <v>205455</v>
      </c>
      <c r="H55" s="23">
        <f t="shared" si="16"/>
        <v>0.11171789442943711</v>
      </c>
      <c r="I55" s="24">
        <f t="shared" si="17"/>
        <v>42.89571638880311</v>
      </c>
      <c r="J55" s="24">
        <f t="shared" si="18"/>
        <v>88.78839366396974</v>
      </c>
      <c r="K55" s="21">
        <v>20279979.42</v>
      </c>
      <c r="L55" s="21">
        <v>18010712.78</v>
      </c>
      <c r="M55" s="25">
        <f t="shared" si="19"/>
        <v>0.12599538217720668</v>
      </c>
      <c r="N55" s="10"/>
      <c r="R55" s="2"/>
    </row>
    <row r="56" spans="1:18" ht="15.75" customHeight="1">
      <c r="A56" s="177"/>
      <c r="B56" s="20">
        <f>DATE(2015,9,1)</f>
        <v>42248</v>
      </c>
      <c r="C56" s="21">
        <v>426295</v>
      </c>
      <c r="D56" s="21">
        <v>375953</v>
      </c>
      <c r="E56" s="23">
        <f t="shared" si="15"/>
        <v>0.13390503600184064</v>
      </c>
      <c r="F56" s="21">
        <f>+C56-222099</f>
        <v>204196</v>
      </c>
      <c r="G56" s="21">
        <f>+D56-189575</f>
        <v>186378</v>
      </c>
      <c r="H56" s="23">
        <f t="shared" si="16"/>
        <v>0.09560141218384144</v>
      </c>
      <c r="I56" s="24">
        <f t="shared" si="17"/>
        <v>41.673228351259105</v>
      </c>
      <c r="J56" s="24">
        <f t="shared" si="18"/>
        <v>87.0001806107857</v>
      </c>
      <c r="K56" s="21">
        <v>17765088.88</v>
      </c>
      <c r="L56" s="21">
        <v>16482379.37</v>
      </c>
      <c r="M56" s="25">
        <f t="shared" si="19"/>
        <v>0.07782307888961057</v>
      </c>
      <c r="N56" s="10"/>
      <c r="R56" s="2"/>
    </row>
    <row r="57" spans="1:18" ht="15.75" customHeight="1">
      <c r="A57" s="177"/>
      <c r="B57" s="20">
        <f>DATE(2015,10,1)</f>
        <v>42278</v>
      </c>
      <c r="C57" s="21">
        <v>431355</v>
      </c>
      <c r="D57" s="21">
        <v>409850</v>
      </c>
      <c r="E57" s="23">
        <f t="shared" si="15"/>
        <v>0.0524704160058558</v>
      </c>
      <c r="F57" s="21">
        <f>+C57-225238</f>
        <v>206117</v>
      </c>
      <c r="G57" s="21">
        <f>+D57-207246</f>
        <v>202604</v>
      </c>
      <c r="H57" s="23">
        <f t="shared" si="16"/>
        <v>0.017339243055418452</v>
      </c>
      <c r="I57" s="24">
        <f t="shared" si="17"/>
        <v>43.315313535255186</v>
      </c>
      <c r="J57" s="24">
        <f t="shared" si="18"/>
        <v>90.64888907756274</v>
      </c>
      <c r="K57" s="21">
        <v>18684277.07</v>
      </c>
      <c r="L57" s="21">
        <v>18107850.71</v>
      </c>
      <c r="M57" s="25">
        <f t="shared" si="19"/>
        <v>0.031832952967834546</v>
      </c>
      <c r="N57" s="10"/>
      <c r="R57" s="2"/>
    </row>
    <row r="58" spans="1:18" ht="15.75" customHeight="1">
      <c r="A58" s="177"/>
      <c r="B58" s="20">
        <f>DATE(2015,11,1)</f>
        <v>42309</v>
      </c>
      <c r="C58" s="21">
        <v>420050</v>
      </c>
      <c r="D58" s="21">
        <v>406554</v>
      </c>
      <c r="E58" s="23">
        <f t="shared" si="15"/>
        <v>0.03319608219326338</v>
      </c>
      <c r="F58" s="21">
        <f>+C58-218810</f>
        <v>201240</v>
      </c>
      <c r="G58" s="21">
        <f>+D58-206259</f>
        <v>200295</v>
      </c>
      <c r="H58" s="23">
        <f t="shared" si="16"/>
        <v>0.00471804088968771</v>
      </c>
      <c r="I58" s="24">
        <f t="shared" si="17"/>
        <v>42.40359026306392</v>
      </c>
      <c r="J58" s="24">
        <f t="shared" si="18"/>
        <v>88.50938227986484</v>
      </c>
      <c r="K58" s="21">
        <v>17811628.09</v>
      </c>
      <c r="L58" s="21">
        <v>17199174.3</v>
      </c>
      <c r="M58" s="25">
        <f t="shared" si="19"/>
        <v>0.03560948795082559</v>
      </c>
      <c r="N58" s="10"/>
      <c r="R58" s="2"/>
    </row>
    <row r="59" spans="1:18" ht="15.75" customHeight="1">
      <c r="A59" s="177"/>
      <c r="B59" s="20">
        <f>DATE(2015,12,1)</f>
        <v>42339</v>
      </c>
      <c r="C59" s="21">
        <v>446138</v>
      </c>
      <c r="D59" s="21">
        <v>430657</v>
      </c>
      <c r="E59" s="23">
        <f t="shared" si="15"/>
        <v>0.03594740129615912</v>
      </c>
      <c r="F59" s="21">
        <f>+C59-234981</f>
        <v>211157</v>
      </c>
      <c r="G59" s="21">
        <f>+D59-224689</f>
        <v>205968</v>
      </c>
      <c r="H59" s="23">
        <f t="shared" si="16"/>
        <v>0.025193233900411713</v>
      </c>
      <c r="I59" s="24">
        <f t="shared" si="17"/>
        <v>40.96598807992146</v>
      </c>
      <c r="J59" s="24">
        <f t="shared" si="18"/>
        <v>86.55400479264243</v>
      </c>
      <c r="K59" s="21">
        <v>18276483.99</v>
      </c>
      <c r="L59" s="21">
        <v>17749396.77</v>
      </c>
      <c r="M59" s="25">
        <f t="shared" si="19"/>
        <v>0.029696063862343802</v>
      </c>
      <c r="N59" s="10"/>
      <c r="R59" s="2"/>
    </row>
    <row r="60" spans="1:18" ht="15.75" customHeight="1">
      <c r="A60" s="177"/>
      <c r="B60" s="20">
        <f>DATE(2016,1,1)</f>
        <v>42370</v>
      </c>
      <c r="C60" s="21">
        <v>453881</v>
      </c>
      <c r="D60" s="21">
        <v>444117</v>
      </c>
      <c r="E60" s="23">
        <f t="shared" si="15"/>
        <v>0.02198519759432762</v>
      </c>
      <c r="F60" s="21">
        <f>+C60-243648</f>
        <v>210233</v>
      </c>
      <c r="G60" s="21">
        <f>+D60-238744</f>
        <v>205373</v>
      </c>
      <c r="H60" s="23">
        <f t="shared" si="16"/>
        <v>0.023664259664123326</v>
      </c>
      <c r="I60" s="24">
        <f t="shared" si="17"/>
        <v>41.02117953824901</v>
      </c>
      <c r="J60" s="24">
        <f t="shared" si="18"/>
        <v>88.56237598283808</v>
      </c>
      <c r="K60" s="21">
        <v>18618733.99</v>
      </c>
      <c r="L60" s="21">
        <v>17897316.43</v>
      </c>
      <c r="M60" s="25">
        <f t="shared" si="19"/>
        <v>0.04030870006805812</v>
      </c>
      <c r="N60" s="10"/>
      <c r="R60" s="2"/>
    </row>
    <row r="61" spans="1:18" ht="15.75" customHeight="1">
      <c r="A61" s="177"/>
      <c r="B61" s="20">
        <f>DATE(2016,2,1)</f>
        <v>42401</v>
      </c>
      <c r="C61" s="21">
        <v>454055</v>
      </c>
      <c r="D61" s="21">
        <v>419947</v>
      </c>
      <c r="E61" s="23">
        <f t="shared" si="15"/>
        <v>0.08121977297135115</v>
      </c>
      <c r="F61" s="21">
        <f>+C61-241101</f>
        <v>212954</v>
      </c>
      <c r="G61" s="21">
        <f>+D61-224073</f>
        <v>195874</v>
      </c>
      <c r="H61" s="23">
        <f t="shared" si="16"/>
        <v>0.08719891358730612</v>
      </c>
      <c r="I61" s="24">
        <f t="shared" si="17"/>
        <v>41.605102333417754</v>
      </c>
      <c r="J61" s="24">
        <f t="shared" si="18"/>
        <v>88.70932098011777</v>
      </c>
      <c r="K61" s="21">
        <v>18891004.74</v>
      </c>
      <c r="L61" s="21">
        <v>17909902.65</v>
      </c>
      <c r="M61" s="25">
        <f t="shared" si="19"/>
        <v>0.054779867270802834</v>
      </c>
      <c r="N61" s="10"/>
      <c r="R61" s="2"/>
    </row>
    <row r="62" spans="1:18" ht="15.75" customHeight="1">
      <c r="A62" s="177"/>
      <c r="B62" s="20">
        <f>DATE(2016,3,1)</f>
        <v>42430</v>
      </c>
      <c r="C62" s="21">
        <v>476435</v>
      </c>
      <c r="D62" s="21">
        <v>486592</v>
      </c>
      <c r="E62" s="23">
        <f t="shared" si="15"/>
        <v>-0.02087375049322636</v>
      </c>
      <c r="F62" s="21">
        <f>+C62-251433</f>
        <v>225002</v>
      </c>
      <c r="G62" s="21">
        <f>+D62-262463</f>
        <v>224129</v>
      </c>
      <c r="H62" s="23">
        <f t="shared" si="16"/>
        <v>0.003895078280811497</v>
      </c>
      <c r="I62" s="24">
        <f t="shared" si="17"/>
        <v>44.25356709729554</v>
      </c>
      <c r="J62" s="24">
        <f t="shared" si="18"/>
        <v>93.70560368352281</v>
      </c>
      <c r="K62" s="21">
        <v>21083948.24</v>
      </c>
      <c r="L62" s="21">
        <v>20292463.09</v>
      </c>
      <c r="M62" s="25">
        <f t="shared" si="19"/>
        <v>0.039003897481032626</v>
      </c>
      <c r="N62" s="10"/>
      <c r="R62" s="2"/>
    </row>
    <row r="63" spans="1:18" ht="15.75" customHeight="1">
      <c r="A63" s="177"/>
      <c r="B63" s="20">
        <f>DATE(2016,4,1)</f>
        <v>42461</v>
      </c>
      <c r="C63" s="21">
        <v>457002</v>
      </c>
      <c r="D63" s="21">
        <v>449038</v>
      </c>
      <c r="E63" s="23">
        <f t="shared" si="15"/>
        <v>0.017735692747607106</v>
      </c>
      <c r="F63" s="21">
        <f>+C63-239677</f>
        <v>217325</v>
      </c>
      <c r="G63" s="21">
        <f>+D63-242488</f>
        <v>206550</v>
      </c>
      <c r="H63" s="23">
        <f t="shared" si="16"/>
        <v>0.052166545630597916</v>
      </c>
      <c r="I63" s="24">
        <f t="shared" si="17"/>
        <v>42.527101960166476</v>
      </c>
      <c r="J63" s="24">
        <f t="shared" si="18"/>
        <v>89.42814057287472</v>
      </c>
      <c r="K63" s="21">
        <v>19434970.65</v>
      </c>
      <c r="L63" s="21">
        <v>18242330.22</v>
      </c>
      <c r="M63" s="25">
        <f t="shared" si="19"/>
        <v>0.06537763627874947</v>
      </c>
      <c r="N63" s="10"/>
      <c r="R63" s="2"/>
    </row>
    <row r="64" spans="1:18" ht="15.75" customHeight="1">
      <c r="A64" s="177"/>
      <c r="B64" s="20">
        <f>DATE(2016,5,1)</f>
        <v>42491</v>
      </c>
      <c r="C64" s="21">
        <v>462609</v>
      </c>
      <c r="D64" s="21">
        <v>477078</v>
      </c>
      <c r="E64" s="23">
        <f t="shared" si="15"/>
        <v>-0.030328373976582446</v>
      </c>
      <c r="F64" s="21">
        <f>+C64-239213</f>
        <v>223396</v>
      </c>
      <c r="G64" s="21">
        <f>+D64-248622</f>
        <v>228456</v>
      </c>
      <c r="H64" s="23">
        <f t="shared" si="16"/>
        <v>-0.022148685085968414</v>
      </c>
      <c r="I64" s="24">
        <f t="shared" si="17"/>
        <v>40.65662963755569</v>
      </c>
      <c r="J64" s="24">
        <f t="shared" si="18"/>
        <v>84.19185115221401</v>
      </c>
      <c r="K64" s="21">
        <v>18808122.78</v>
      </c>
      <c r="L64" s="21">
        <v>19681686.09</v>
      </c>
      <c r="M64" s="25">
        <f t="shared" si="19"/>
        <v>-0.04438457691101193</v>
      </c>
      <c r="N64" s="10"/>
      <c r="R64" s="2"/>
    </row>
    <row r="65" spans="1:18" ht="15.75" customHeight="1">
      <c r="A65" s="177"/>
      <c r="B65" s="20">
        <f>DATE(2016,6,1)</f>
        <v>42522</v>
      </c>
      <c r="C65" s="21">
        <v>432201</v>
      </c>
      <c r="D65" s="21">
        <v>442162</v>
      </c>
      <c r="E65" s="23">
        <f t="shared" si="15"/>
        <v>-0.022527942247411583</v>
      </c>
      <c r="F65" s="21">
        <f>+C65-222445</f>
        <v>209756</v>
      </c>
      <c r="G65" s="21">
        <f>+D65-226921</f>
        <v>215241</v>
      </c>
      <c r="H65" s="23">
        <f t="shared" si="16"/>
        <v>-0.025483063171050126</v>
      </c>
      <c r="I65" s="24">
        <f t="shared" si="17"/>
        <v>41.555376341100555</v>
      </c>
      <c r="J65" s="24">
        <f t="shared" si="18"/>
        <v>85.62460768702684</v>
      </c>
      <c r="K65" s="21">
        <v>17960275.21</v>
      </c>
      <c r="L65" s="21">
        <v>18249791.35</v>
      </c>
      <c r="M65" s="25">
        <f t="shared" si="19"/>
        <v>-0.01586407945425637</v>
      </c>
      <c r="N65" s="10"/>
      <c r="R65" s="2"/>
    </row>
    <row r="66" spans="1:18" ht="15" thickBot="1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6.5" thickBot="1" thickTop="1">
      <c r="A67" s="39" t="s">
        <v>14</v>
      </c>
      <c r="B67" s="40"/>
      <c r="C67" s="41">
        <f>SUM(C54:C66)</f>
        <v>5427695</v>
      </c>
      <c r="D67" s="41">
        <f>SUM(D54:D66)</f>
        <v>5185850</v>
      </c>
      <c r="E67" s="280">
        <f>(+C67-D67)/D67</f>
        <v>0.04663555636973688</v>
      </c>
      <c r="F67" s="41">
        <f>SUM(F54:F66)</f>
        <v>2591161</v>
      </c>
      <c r="G67" s="41">
        <f>SUM(G54:G66)</f>
        <v>2482422</v>
      </c>
      <c r="H67" s="42">
        <f>(+F67-G67)/G67</f>
        <v>0.043803591814768</v>
      </c>
      <c r="I67" s="43">
        <f>K67/C67</f>
        <v>42.095533304653266</v>
      </c>
      <c r="J67" s="43">
        <f>K67/F67</f>
        <v>88.17735202096667</v>
      </c>
      <c r="K67" s="41">
        <f>SUM(K54:K66)</f>
        <v>228481715.64000002</v>
      </c>
      <c r="L67" s="41">
        <f>SUM(L54:L66)</f>
        <v>218870466.69</v>
      </c>
      <c r="M67" s="44">
        <f>(+K67-L67)/L67</f>
        <v>0.04391295497904262</v>
      </c>
      <c r="N67" s="10"/>
      <c r="R67" s="2"/>
    </row>
    <row r="68" spans="1:18" ht="15" thickTop="1">
      <c r="A68" s="38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">
      <c r="A69" s="19" t="s">
        <v>16</v>
      </c>
      <c r="B69" s="20">
        <f>DATE(2015,7,1)</f>
        <v>42186</v>
      </c>
      <c r="C69" s="21">
        <v>319208</v>
      </c>
      <c r="D69" s="21">
        <v>319198</v>
      </c>
      <c r="E69" s="23">
        <f aca="true" t="shared" si="20" ref="E69:E80">(+C69-D69)/D69</f>
        <v>3.132851709597178E-05</v>
      </c>
      <c r="F69" s="21">
        <f>+C69-150159</f>
        <v>169049</v>
      </c>
      <c r="G69" s="21">
        <f>+D69-151618</f>
        <v>167580</v>
      </c>
      <c r="H69" s="23">
        <f aca="true" t="shared" si="21" ref="H69:H80">(+F69-G69)/G69</f>
        <v>0.008765962525361022</v>
      </c>
      <c r="I69" s="24">
        <f aca="true" t="shared" si="22" ref="I69:I80">K69/C69</f>
        <v>44.95453509937094</v>
      </c>
      <c r="J69" s="24">
        <f aca="true" t="shared" si="23" ref="J69:J80">K69/F69</f>
        <v>84.88572686025945</v>
      </c>
      <c r="K69" s="21">
        <v>14349847.24</v>
      </c>
      <c r="L69" s="21">
        <v>14419954.22</v>
      </c>
      <c r="M69" s="25">
        <f aca="true" t="shared" si="24" ref="M69:M80">(+K69-L69)/L69</f>
        <v>-0.004861803229774779</v>
      </c>
      <c r="N69" s="10"/>
      <c r="R69" s="2"/>
    </row>
    <row r="70" spans="1:18" ht="15">
      <c r="A70" s="19"/>
      <c r="B70" s="20">
        <f>DATE(2015,8,1)</f>
        <v>42217</v>
      </c>
      <c r="C70" s="21">
        <v>315655</v>
      </c>
      <c r="D70" s="21">
        <v>344204</v>
      </c>
      <c r="E70" s="23">
        <f t="shared" si="20"/>
        <v>-0.0829420924800409</v>
      </c>
      <c r="F70" s="21">
        <f>+C70-148337</f>
        <v>167318</v>
      </c>
      <c r="G70" s="21">
        <f>+D70-162416</f>
        <v>181788</v>
      </c>
      <c r="H70" s="23">
        <f t="shared" si="21"/>
        <v>-0.07959821330340837</v>
      </c>
      <c r="I70" s="24">
        <f t="shared" si="22"/>
        <v>44.972165275379766</v>
      </c>
      <c r="J70" s="24">
        <f t="shared" si="23"/>
        <v>84.84256822338303</v>
      </c>
      <c r="K70" s="21">
        <v>14195688.83</v>
      </c>
      <c r="L70" s="21">
        <v>14750519.41</v>
      </c>
      <c r="M70" s="25">
        <f t="shared" si="24"/>
        <v>-0.037614307983206134</v>
      </c>
      <c r="N70" s="10"/>
      <c r="R70" s="2"/>
    </row>
    <row r="71" spans="1:18" ht="15">
      <c r="A71" s="19"/>
      <c r="B71" s="20">
        <f>DATE(2015,9,1)</f>
        <v>42248</v>
      </c>
      <c r="C71" s="21">
        <v>293454</v>
      </c>
      <c r="D71" s="21">
        <v>313842</v>
      </c>
      <c r="E71" s="23">
        <f t="shared" si="20"/>
        <v>-0.06496262450532433</v>
      </c>
      <c r="F71" s="21">
        <f>+C71-136436</f>
        <v>157018</v>
      </c>
      <c r="G71" s="21">
        <f>+D71-147906</f>
        <v>165936</v>
      </c>
      <c r="H71" s="23">
        <f t="shared" si="21"/>
        <v>-0.05374361199498602</v>
      </c>
      <c r="I71" s="24">
        <f t="shared" si="22"/>
        <v>44.27817126363928</v>
      </c>
      <c r="J71" s="24">
        <f t="shared" si="23"/>
        <v>82.75233712058491</v>
      </c>
      <c r="K71" s="21">
        <v>12993606.47</v>
      </c>
      <c r="L71" s="21">
        <v>14233727.27</v>
      </c>
      <c r="M71" s="25">
        <f t="shared" si="24"/>
        <v>-0.08712551368142091</v>
      </c>
      <c r="N71" s="10"/>
      <c r="R71" s="2"/>
    </row>
    <row r="72" spans="1:18" ht="15">
      <c r="A72" s="19"/>
      <c r="B72" s="20">
        <f>DATE(2015,10,1)</f>
        <v>42278</v>
      </c>
      <c r="C72" s="21">
        <v>315071</v>
      </c>
      <c r="D72" s="21">
        <v>313776</v>
      </c>
      <c r="E72" s="23">
        <f t="shared" si="20"/>
        <v>0.004127148029167304</v>
      </c>
      <c r="F72" s="21">
        <f>+C72-148719</f>
        <v>166352</v>
      </c>
      <c r="G72" s="21">
        <f>+D72-151498</f>
        <v>162278</v>
      </c>
      <c r="H72" s="23">
        <f t="shared" si="21"/>
        <v>0.025105066614082006</v>
      </c>
      <c r="I72" s="24">
        <f t="shared" si="22"/>
        <v>51.82021198396552</v>
      </c>
      <c r="J72" s="24">
        <f t="shared" si="23"/>
        <v>98.14757868856401</v>
      </c>
      <c r="K72" s="21">
        <v>16327046.01</v>
      </c>
      <c r="L72" s="21">
        <v>14691214.89</v>
      </c>
      <c r="M72" s="25">
        <f t="shared" si="24"/>
        <v>0.11134757283507403</v>
      </c>
      <c r="N72" s="10"/>
      <c r="R72" s="2"/>
    </row>
    <row r="73" spans="1:18" ht="15">
      <c r="A73" s="19"/>
      <c r="B73" s="20">
        <f>DATE(2015,11,1)</f>
        <v>42309</v>
      </c>
      <c r="C73" s="21">
        <v>297332</v>
      </c>
      <c r="D73" s="21">
        <v>315173</v>
      </c>
      <c r="E73" s="23">
        <f t="shared" si="20"/>
        <v>-0.056607006310819774</v>
      </c>
      <c r="F73" s="21">
        <f>+C73-141416</f>
        <v>155916</v>
      </c>
      <c r="G73" s="21">
        <f>+D73-150832</f>
        <v>164341</v>
      </c>
      <c r="H73" s="23">
        <f t="shared" si="21"/>
        <v>-0.05126535678862852</v>
      </c>
      <c r="I73" s="24">
        <f t="shared" si="22"/>
        <v>43.498170159955876</v>
      </c>
      <c r="J73" s="24">
        <f t="shared" si="23"/>
        <v>82.95106294414941</v>
      </c>
      <c r="K73" s="21">
        <v>12933397.93</v>
      </c>
      <c r="L73" s="21">
        <v>14399772.12</v>
      </c>
      <c r="M73" s="25">
        <f t="shared" si="24"/>
        <v>-0.10183315248186021</v>
      </c>
      <c r="N73" s="10"/>
      <c r="R73" s="2"/>
    </row>
    <row r="74" spans="1:18" ht="15">
      <c r="A74" s="19"/>
      <c r="B74" s="20">
        <f>DATE(2015,12,1)</f>
        <v>42339</v>
      </c>
      <c r="C74" s="21">
        <v>313985</v>
      </c>
      <c r="D74" s="21">
        <v>326322</v>
      </c>
      <c r="E74" s="23">
        <f t="shared" si="20"/>
        <v>-0.03780621594621263</v>
      </c>
      <c r="F74" s="21">
        <f>+C74-151244</f>
        <v>162741</v>
      </c>
      <c r="G74" s="21">
        <f>+D74-157877</f>
        <v>168445</v>
      </c>
      <c r="H74" s="23">
        <f t="shared" si="21"/>
        <v>-0.03386268514945531</v>
      </c>
      <c r="I74" s="24">
        <f t="shared" si="22"/>
        <v>48.546822778158194</v>
      </c>
      <c r="J74" s="24">
        <f t="shared" si="23"/>
        <v>93.6640069189694</v>
      </c>
      <c r="K74" s="21">
        <v>15242974.15</v>
      </c>
      <c r="L74" s="21">
        <v>14518144.12</v>
      </c>
      <c r="M74" s="25">
        <f t="shared" si="24"/>
        <v>0.04992580484178313</v>
      </c>
      <c r="N74" s="10"/>
      <c r="R74" s="2"/>
    </row>
    <row r="75" spans="1:18" ht="15">
      <c r="A75" s="19"/>
      <c r="B75" s="20">
        <f>DATE(2016,1,1)</f>
        <v>42370</v>
      </c>
      <c r="C75" s="21">
        <v>300541</v>
      </c>
      <c r="D75" s="21">
        <v>317924</v>
      </c>
      <c r="E75" s="23">
        <f t="shared" si="20"/>
        <v>-0.05467658937356098</v>
      </c>
      <c r="F75" s="21">
        <f>+C75-146134</f>
        <v>154407</v>
      </c>
      <c r="G75" s="21">
        <f>+D75-154706</f>
        <v>163218</v>
      </c>
      <c r="H75" s="23">
        <f t="shared" si="21"/>
        <v>-0.05398301657905378</v>
      </c>
      <c r="I75" s="24">
        <f t="shared" si="22"/>
        <v>46.66680482862571</v>
      </c>
      <c r="J75" s="24">
        <f t="shared" si="23"/>
        <v>90.83324065618787</v>
      </c>
      <c r="K75" s="21">
        <v>14025288.19</v>
      </c>
      <c r="L75" s="21">
        <v>14086892.58</v>
      </c>
      <c r="M75" s="25">
        <f t="shared" si="24"/>
        <v>-0.004373170992122422</v>
      </c>
      <c r="N75" s="10"/>
      <c r="R75" s="2"/>
    </row>
    <row r="76" spans="1:18" ht="15">
      <c r="A76" s="19"/>
      <c r="B76" s="20">
        <f>DATE(2016,2,1)</f>
        <v>42401</v>
      </c>
      <c r="C76" s="21">
        <v>312697</v>
      </c>
      <c r="D76" s="21">
        <v>303822</v>
      </c>
      <c r="E76" s="23">
        <f t="shared" si="20"/>
        <v>0.029211182863650428</v>
      </c>
      <c r="F76" s="21">
        <f>+C76-152262</f>
        <v>160435</v>
      </c>
      <c r="G76" s="21">
        <f>+D76-148098</f>
        <v>155724</v>
      </c>
      <c r="H76" s="23">
        <f t="shared" si="21"/>
        <v>0.030252241144589145</v>
      </c>
      <c r="I76" s="24">
        <f t="shared" si="22"/>
        <v>46.076691621601746</v>
      </c>
      <c r="J76" s="24">
        <f t="shared" si="23"/>
        <v>89.80610988874</v>
      </c>
      <c r="K76" s="21">
        <v>14408043.24</v>
      </c>
      <c r="L76" s="21">
        <v>13867344.72</v>
      </c>
      <c r="M76" s="25">
        <f t="shared" si="24"/>
        <v>0.038990775156846284</v>
      </c>
      <c r="N76" s="10"/>
      <c r="R76" s="2"/>
    </row>
    <row r="77" spans="1:18" ht="15">
      <c r="A77" s="19"/>
      <c r="B77" s="20">
        <f>DATE(2016,3,1)</f>
        <v>42430</v>
      </c>
      <c r="C77" s="21">
        <v>317241</v>
      </c>
      <c r="D77" s="21">
        <v>335164</v>
      </c>
      <c r="E77" s="23">
        <f t="shared" si="20"/>
        <v>-0.05347531357783056</v>
      </c>
      <c r="F77" s="21">
        <f>+C77-151060</f>
        <v>166181</v>
      </c>
      <c r="G77" s="21">
        <f>+D77-162701</f>
        <v>172463</v>
      </c>
      <c r="H77" s="23">
        <f t="shared" si="21"/>
        <v>-0.03642520424670799</v>
      </c>
      <c r="I77" s="24">
        <f t="shared" si="22"/>
        <v>48.11903568580354</v>
      </c>
      <c r="J77" s="24">
        <f t="shared" si="23"/>
        <v>91.85966506399649</v>
      </c>
      <c r="K77" s="21">
        <v>15265331</v>
      </c>
      <c r="L77" s="21">
        <v>15821890.7</v>
      </c>
      <c r="M77" s="25">
        <f t="shared" si="24"/>
        <v>-0.03517656078865462</v>
      </c>
      <c r="N77" s="10"/>
      <c r="R77" s="2"/>
    </row>
    <row r="78" spans="1:18" ht="15">
      <c r="A78" s="19"/>
      <c r="B78" s="20">
        <f>DATE(2016,4,1)</f>
        <v>42461</v>
      </c>
      <c r="C78" s="21">
        <v>304399</v>
      </c>
      <c r="D78" s="21">
        <v>299703</v>
      </c>
      <c r="E78" s="23">
        <f t="shared" si="20"/>
        <v>0.0156688454903688</v>
      </c>
      <c r="F78" s="21">
        <f>+C78-143087</f>
        <v>161312</v>
      </c>
      <c r="G78" s="21">
        <f>+D78-142665</f>
        <v>157038</v>
      </c>
      <c r="H78" s="23">
        <f t="shared" si="21"/>
        <v>0.02721634254129574</v>
      </c>
      <c r="I78" s="24">
        <f t="shared" si="22"/>
        <v>48.97493543014267</v>
      </c>
      <c r="J78" s="24">
        <f t="shared" si="23"/>
        <v>92.41669169063677</v>
      </c>
      <c r="K78" s="21">
        <v>14907921.37</v>
      </c>
      <c r="L78" s="21">
        <v>14305316.55</v>
      </c>
      <c r="M78" s="25">
        <f t="shared" si="24"/>
        <v>0.04212453586006095</v>
      </c>
      <c r="N78" s="10"/>
      <c r="R78" s="2"/>
    </row>
    <row r="79" spans="1:18" ht="15">
      <c r="A79" s="19"/>
      <c r="B79" s="20">
        <f>DATE(2016,5,1)</f>
        <v>42491</v>
      </c>
      <c r="C79" s="21">
        <v>305770</v>
      </c>
      <c r="D79" s="21">
        <v>332196</v>
      </c>
      <c r="E79" s="23">
        <f t="shared" si="20"/>
        <v>-0.0795494226300136</v>
      </c>
      <c r="F79" s="21">
        <f>+C79-146015</f>
        <v>159755</v>
      </c>
      <c r="G79" s="21">
        <f>+D79-159692</f>
        <v>172504</v>
      </c>
      <c r="H79" s="23">
        <f t="shared" si="21"/>
        <v>-0.07390553262533042</v>
      </c>
      <c r="I79" s="24">
        <f t="shared" si="22"/>
        <v>48.379978218922716</v>
      </c>
      <c r="J79" s="24">
        <f t="shared" si="23"/>
        <v>92.59895427373165</v>
      </c>
      <c r="K79" s="21">
        <v>14793145.94</v>
      </c>
      <c r="L79" s="21">
        <v>15840259.36</v>
      </c>
      <c r="M79" s="25">
        <f t="shared" si="24"/>
        <v>-0.06610456282326932</v>
      </c>
      <c r="N79" s="10"/>
      <c r="R79" s="2"/>
    </row>
    <row r="80" spans="1:18" ht="15">
      <c r="A80" s="19"/>
      <c r="B80" s="20">
        <f>DATE(2016,6,1)</f>
        <v>42522</v>
      </c>
      <c r="C80" s="21">
        <v>282728</v>
      </c>
      <c r="D80" s="21">
        <v>297149</v>
      </c>
      <c r="E80" s="23">
        <f t="shared" si="20"/>
        <v>-0.04853120824906024</v>
      </c>
      <c r="F80" s="21">
        <f>+C80-130344</f>
        <v>152384</v>
      </c>
      <c r="G80" s="21">
        <f>+D80-142247</f>
        <v>154902</v>
      </c>
      <c r="H80" s="23">
        <f t="shared" si="21"/>
        <v>-0.01625543892267369</v>
      </c>
      <c r="I80" s="24">
        <f t="shared" si="22"/>
        <v>47.44597514218613</v>
      </c>
      <c r="J80" s="24">
        <f t="shared" si="23"/>
        <v>88.02962030134397</v>
      </c>
      <c r="K80" s="21">
        <v>13414305.66</v>
      </c>
      <c r="L80" s="21">
        <v>13666233.26</v>
      </c>
      <c r="M80" s="25">
        <f t="shared" si="24"/>
        <v>-0.018434311430741642</v>
      </c>
      <c r="N80" s="10"/>
      <c r="R80" s="2"/>
    </row>
    <row r="81" spans="1:18" ht="15" thickBot="1">
      <c r="A81" s="38"/>
      <c r="B81" s="20"/>
      <c r="C81" s="21"/>
      <c r="D81" s="21"/>
      <c r="E81" s="23"/>
      <c r="F81" s="21"/>
      <c r="G81" s="21"/>
      <c r="H81" s="23"/>
      <c r="I81" s="24"/>
      <c r="J81" s="24"/>
      <c r="K81" s="21"/>
      <c r="L81" s="21"/>
      <c r="M81" s="25"/>
      <c r="N81" s="10"/>
      <c r="R81" s="2"/>
    </row>
    <row r="82" spans="1:18" ht="16.5" thickBot="1" thickTop="1">
      <c r="A82" s="39" t="s">
        <v>14</v>
      </c>
      <c r="B82" s="40"/>
      <c r="C82" s="41">
        <f>SUM(C69:C81)</f>
        <v>3678081</v>
      </c>
      <c r="D82" s="41">
        <f>SUM(D69:D81)</f>
        <v>3818473</v>
      </c>
      <c r="E82" s="281">
        <f>(+C82-D82)/D82</f>
        <v>-0.036766529447766164</v>
      </c>
      <c r="F82" s="47">
        <f>SUM(F69:F81)</f>
        <v>1932868</v>
      </c>
      <c r="G82" s="48">
        <f>SUM(G69:G81)</f>
        <v>1986217</v>
      </c>
      <c r="H82" s="49">
        <f>(+F82-G82)/G82</f>
        <v>-0.026859602953755807</v>
      </c>
      <c r="I82" s="50">
        <f>K82/C82</f>
        <v>46.99640818948794</v>
      </c>
      <c r="J82" s="51">
        <f>K82/F82</f>
        <v>89.43010905555887</v>
      </c>
      <c r="K82" s="48">
        <f>SUM(K69:K81)</f>
        <v>172856596.02999997</v>
      </c>
      <c r="L82" s="47">
        <f>SUM(L69:L81)</f>
        <v>174601269.2</v>
      </c>
      <c r="M82" s="44">
        <f>(+K82-L82)/L82</f>
        <v>-0.009992328108460376</v>
      </c>
      <c r="N82" s="10"/>
      <c r="R82" s="2"/>
    </row>
    <row r="83" spans="1:18" ht="15.75" customHeight="1" thickTop="1">
      <c r="A83" s="273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5">
      <c r="A84" s="274" t="s">
        <v>66</v>
      </c>
      <c r="B84" s="20">
        <f>DATE(2015,7,1)</f>
        <v>42186</v>
      </c>
      <c r="C84" s="21">
        <v>162841</v>
      </c>
      <c r="D84" s="21">
        <v>169515</v>
      </c>
      <c r="E84" s="23">
        <f aca="true" t="shared" si="25" ref="E84:E95">(+C84-D84)/D84</f>
        <v>-0.039371147096127185</v>
      </c>
      <c r="F84" s="21">
        <f>+C84-76529</f>
        <v>86312</v>
      </c>
      <c r="G84" s="21">
        <f>+D84-78908</f>
        <v>90607</v>
      </c>
      <c r="H84" s="23">
        <f aca="true" t="shared" si="26" ref="H84:H90">(+F84-G84)/G84</f>
        <v>-0.04740251856920547</v>
      </c>
      <c r="I84" s="24">
        <f aca="true" t="shared" si="27" ref="I84:I90">K84/C84</f>
        <v>32.48967876640404</v>
      </c>
      <c r="J84" s="24">
        <f aca="true" t="shared" si="28" ref="J84:J90">K84/F84</f>
        <v>61.29682755584392</v>
      </c>
      <c r="K84" s="21">
        <v>5290651.78</v>
      </c>
      <c r="L84" s="21">
        <v>5365526.65</v>
      </c>
      <c r="M84" s="25">
        <f aca="true" t="shared" si="29" ref="M84:M95">(+K84-L84)/L84</f>
        <v>-0.013954803486066016</v>
      </c>
      <c r="N84" s="10"/>
      <c r="R84" s="2"/>
    </row>
    <row r="85" spans="1:18" ht="15">
      <c r="A85" s="274"/>
      <c r="B85" s="20">
        <f>DATE(2015,8,1)</f>
        <v>42217</v>
      </c>
      <c r="C85" s="21">
        <v>166381</v>
      </c>
      <c r="D85" s="21">
        <v>181287</v>
      </c>
      <c r="E85" s="23">
        <f t="shared" si="25"/>
        <v>-0.0822232151229818</v>
      </c>
      <c r="F85" s="21">
        <f>+C85-77028</f>
        <v>89353</v>
      </c>
      <c r="G85" s="21">
        <f>+D85-83317</f>
        <v>97970</v>
      </c>
      <c r="H85" s="23">
        <f t="shared" si="26"/>
        <v>-0.08795549658058589</v>
      </c>
      <c r="I85" s="24">
        <f t="shared" si="27"/>
        <v>33.09861504618917</v>
      </c>
      <c r="J85" s="24">
        <f t="shared" si="28"/>
        <v>61.63173782637404</v>
      </c>
      <c r="K85" s="21">
        <v>5506980.67</v>
      </c>
      <c r="L85" s="21">
        <v>5756649.28</v>
      </c>
      <c r="M85" s="25">
        <f t="shared" si="29"/>
        <v>-0.04337047436039048</v>
      </c>
      <c r="N85" s="10"/>
      <c r="R85" s="2"/>
    </row>
    <row r="86" spans="1:18" ht="15">
      <c r="A86" s="274"/>
      <c r="B86" s="20">
        <f>DATE(2015,9,1)</f>
        <v>42248</v>
      </c>
      <c r="C86" s="21">
        <v>157763</v>
      </c>
      <c r="D86" s="21">
        <v>150132</v>
      </c>
      <c r="E86" s="23">
        <f t="shared" si="25"/>
        <v>0.050828604161671065</v>
      </c>
      <c r="F86" s="21">
        <f>+C86-73171</f>
        <v>84592</v>
      </c>
      <c r="G86" s="21">
        <f>+D86-69946</f>
        <v>80186</v>
      </c>
      <c r="H86" s="23">
        <f t="shared" si="26"/>
        <v>0.054947247649215575</v>
      </c>
      <c r="I86" s="24">
        <f t="shared" si="27"/>
        <v>31.97130746753041</v>
      </c>
      <c r="J86" s="24">
        <f t="shared" si="28"/>
        <v>59.6260802439947</v>
      </c>
      <c r="K86" s="21">
        <v>5043889.38</v>
      </c>
      <c r="L86" s="21">
        <v>4750473.68</v>
      </c>
      <c r="M86" s="25">
        <f t="shared" si="29"/>
        <v>0.06176556692342314</v>
      </c>
      <c r="N86" s="10"/>
      <c r="R86" s="2"/>
    </row>
    <row r="87" spans="1:18" ht="15">
      <c r="A87" s="274"/>
      <c r="B87" s="20">
        <f>DATE(2015,10,1)</f>
        <v>42278</v>
      </c>
      <c r="C87" s="21">
        <v>148479</v>
      </c>
      <c r="D87" s="21">
        <v>160851</v>
      </c>
      <c r="E87" s="23">
        <f t="shared" si="25"/>
        <v>-0.07691590353805695</v>
      </c>
      <c r="F87" s="21">
        <f>+C87-69682</f>
        <v>78797</v>
      </c>
      <c r="G87" s="21">
        <f>+D87-74039</f>
        <v>86812</v>
      </c>
      <c r="H87" s="23">
        <f t="shared" si="26"/>
        <v>-0.09232594572178962</v>
      </c>
      <c r="I87" s="24">
        <f t="shared" si="27"/>
        <v>36.3551096788098</v>
      </c>
      <c r="J87" s="24">
        <f t="shared" si="28"/>
        <v>68.50476959782733</v>
      </c>
      <c r="K87" s="21">
        <v>5397970.33</v>
      </c>
      <c r="L87" s="21">
        <v>5146264.1</v>
      </c>
      <c r="M87" s="25">
        <f t="shared" si="29"/>
        <v>0.04891047663099927</v>
      </c>
      <c r="N87" s="10"/>
      <c r="R87" s="2"/>
    </row>
    <row r="88" spans="1:18" ht="15">
      <c r="A88" s="274"/>
      <c r="B88" s="20">
        <f>DATE(2015,11,1)</f>
        <v>42309</v>
      </c>
      <c r="C88" s="21">
        <v>145353</v>
      </c>
      <c r="D88" s="21">
        <v>159639</v>
      </c>
      <c r="E88" s="23">
        <f t="shared" si="25"/>
        <v>-0.08948941048240092</v>
      </c>
      <c r="F88" s="21">
        <f>+C88-70171</f>
        <v>75182</v>
      </c>
      <c r="G88" s="21">
        <f>+D88-75628</f>
        <v>84011</v>
      </c>
      <c r="H88" s="23">
        <f t="shared" si="26"/>
        <v>-0.1050933806287272</v>
      </c>
      <c r="I88" s="24">
        <f t="shared" si="27"/>
        <v>33.535736035719935</v>
      </c>
      <c r="J88" s="24">
        <f t="shared" si="28"/>
        <v>64.83626187119258</v>
      </c>
      <c r="K88" s="21">
        <v>4874519.84</v>
      </c>
      <c r="L88" s="21">
        <v>4986145.93</v>
      </c>
      <c r="M88" s="25">
        <f t="shared" si="29"/>
        <v>-0.022387248902681005</v>
      </c>
      <c r="N88" s="10"/>
      <c r="R88" s="2"/>
    </row>
    <row r="89" spans="1:18" ht="15">
      <c r="A89" s="274"/>
      <c r="B89" s="20">
        <f>DATE(2015,12,1)</f>
        <v>42339</v>
      </c>
      <c r="C89" s="21">
        <v>159304</v>
      </c>
      <c r="D89" s="21">
        <v>160372</v>
      </c>
      <c r="E89" s="23">
        <f t="shared" si="25"/>
        <v>-0.00665951662384955</v>
      </c>
      <c r="F89" s="21">
        <f>+C89-75376</f>
        <v>83928</v>
      </c>
      <c r="G89" s="21">
        <f>+D89-75831</f>
        <v>84541</v>
      </c>
      <c r="H89" s="23">
        <f t="shared" si="26"/>
        <v>-0.007250919672111757</v>
      </c>
      <c r="I89" s="24">
        <f t="shared" si="27"/>
        <v>35.00789773012605</v>
      </c>
      <c r="J89" s="24">
        <f t="shared" si="28"/>
        <v>66.44860046706701</v>
      </c>
      <c r="K89" s="21">
        <v>5576898.14</v>
      </c>
      <c r="L89" s="21">
        <v>5136595.7</v>
      </c>
      <c r="M89" s="25">
        <f t="shared" si="29"/>
        <v>0.0857187261204925</v>
      </c>
      <c r="N89" s="10"/>
      <c r="R89" s="2"/>
    </row>
    <row r="90" spans="1:18" ht="15">
      <c r="A90" s="274"/>
      <c r="B90" s="20">
        <f>DATE(2016,1,1)</f>
        <v>42370</v>
      </c>
      <c r="C90" s="21">
        <v>146436</v>
      </c>
      <c r="D90" s="21">
        <v>164487</v>
      </c>
      <c r="E90" s="23">
        <f t="shared" si="25"/>
        <v>-0.10974119535282424</v>
      </c>
      <c r="F90" s="21">
        <f>+C90-71018</f>
        <v>75418</v>
      </c>
      <c r="G90" s="21">
        <f>+D90-80335</f>
        <v>84152</v>
      </c>
      <c r="H90" s="23">
        <f t="shared" si="26"/>
        <v>-0.10378838292613367</v>
      </c>
      <c r="I90" s="24">
        <f t="shared" si="27"/>
        <v>34.467604823950396</v>
      </c>
      <c r="J90" s="24">
        <f t="shared" si="28"/>
        <v>66.92431753692752</v>
      </c>
      <c r="K90" s="21">
        <v>5047298.18</v>
      </c>
      <c r="L90" s="21">
        <v>5340870.15</v>
      </c>
      <c r="M90" s="25">
        <f t="shared" si="29"/>
        <v>-0.054967067491801996</v>
      </c>
      <c r="N90" s="10"/>
      <c r="R90" s="2"/>
    </row>
    <row r="91" spans="1:18" ht="15">
      <c r="A91" s="274"/>
      <c r="B91" s="20">
        <f>DATE(2016,2,1)</f>
        <v>42401</v>
      </c>
      <c r="C91" s="21">
        <v>159619</v>
      </c>
      <c r="D91" s="21">
        <v>161414</v>
      </c>
      <c r="E91" s="23">
        <f t="shared" si="25"/>
        <v>-0.011120472821440519</v>
      </c>
      <c r="F91" s="21">
        <f>+C91-77523</f>
        <v>82096</v>
      </c>
      <c r="G91" s="21">
        <f>+D91-78334</f>
        <v>83080</v>
      </c>
      <c r="H91" s="23">
        <f>(+F91-G91)/G91</f>
        <v>-0.011844005777563794</v>
      </c>
      <c r="I91" s="24">
        <f>K91/C91</f>
        <v>36.49669675915774</v>
      </c>
      <c r="J91" s="24">
        <f>K91/F91</f>
        <v>70.96041512375756</v>
      </c>
      <c r="K91" s="21">
        <v>5825566.24</v>
      </c>
      <c r="L91" s="21">
        <v>5346087.6</v>
      </c>
      <c r="M91" s="25">
        <f t="shared" si="29"/>
        <v>0.08968776344031486</v>
      </c>
      <c r="N91" s="10"/>
      <c r="R91" s="2"/>
    </row>
    <row r="92" spans="1:18" ht="15">
      <c r="A92" s="274"/>
      <c r="B92" s="20">
        <f>DATE(2016,3,1)</f>
        <v>42430</v>
      </c>
      <c r="C92" s="21">
        <v>160136</v>
      </c>
      <c r="D92" s="21">
        <v>162913</v>
      </c>
      <c r="E92" s="23">
        <f t="shared" si="25"/>
        <v>-0.01704590793859299</v>
      </c>
      <c r="F92" s="21">
        <f>+C92-77035</f>
        <v>83101</v>
      </c>
      <c r="G92" s="21">
        <f>+D92-80122</f>
        <v>82791</v>
      </c>
      <c r="H92" s="23">
        <f>(+F92-G92)/G92</f>
        <v>0.003744368349216702</v>
      </c>
      <c r="I92" s="24">
        <f>K92/C92</f>
        <v>36.7878485787081</v>
      </c>
      <c r="J92" s="24">
        <f>K92/F92</f>
        <v>70.89034933394304</v>
      </c>
      <c r="K92" s="21">
        <v>5891058.92</v>
      </c>
      <c r="L92" s="21">
        <v>5768986.18</v>
      </c>
      <c r="M92" s="25">
        <f t="shared" si="29"/>
        <v>0.021160172028701275</v>
      </c>
      <c r="N92" s="10"/>
      <c r="R92" s="2"/>
    </row>
    <row r="93" spans="1:18" ht="15">
      <c r="A93" s="274"/>
      <c r="B93" s="20">
        <f>DATE(2016,4,1)</f>
        <v>42461</v>
      </c>
      <c r="C93" s="21">
        <v>153777</v>
      </c>
      <c r="D93" s="21">
        <v>148192</v>
      </c>
      <c r="E93" s="23">
        <f t="shared" si="25"/>
        <v>0.037687594472036276</v>
      </c>
      <c r="F93" s="21">
        <f>+C93-73502</f>
        <v>80275</v>
      </c>
      <c r="G93" s="21">
        <f>+D93-70503</f>
        <v>77689</v>
      </c>
      <c r="H93" s="23">
        <f>(+F93-G93)/G93</f>
        <v>0.033286565665666956</v>
      </c>
      <c r="I93" s="24">
        <f>K93/C93</f>
        <v>37.44814621172217</v>
      </c>
      <c r="J93" s="24">
        <f>K93/F93</f>
        <v>71.73669984428527</v>
      </c>
      <c r="K93" s="21">
        <v>5758663.58</v>
      </c>
      <c r="L93" s="21">
        <v>5080961.54</v>
      </c>
      <c r="M93" s="25">
        <f t="shared" si="29"/>
        <v>0.13338066715616195</v>
      </c>
      <c r="N93" s="10"/>
      <c r="R93" s="2"/>
    </row>
    <row r="94" spans="1:18" ht="15">
      <c r="A94" s="274"/>
      <c r="B94" s="20">
        <f>DATE(2016,5,1)</f>
        <v>42491</v>
      </c>
      <c r="C94" s="21">
        <v>155688</v>
      </c>
      <c r="D94" s="21">
        <v>159693</v>
      </c>
      <c r="E94" s="23">
        <f t="shared" si="25"/>
        <v>-0.02507937104318912</v>
      </c>
      <c r="F94" s="21">
        <f>+C94-74113</f>
        <v>81575</v>
      </c>
      <c r="G94" s="21">
        <f>+D94-76888</f>
        <v>82805</v>
      </c>
      <c r="H94" s="23">
        <f>(+F94-G94)/G94</f>
        <v>-0.014854175472495621</v>
      </c>
      <c r="I94" s="24">
        <f>K94/C94</f>
        <v>35.56326210112533</v>
      </c>
      <c r="J94" s="24">
        <f>K94/F94</f>
        <v>67.87340668096844</v>
      </c>
      <c r="K94" s="21">
        <v>5536773.15</v>
      </c>
      <c r="L94" s="21">
        <v>5426495.78</v>
      </c>
      <c r="M94" s="25">
        <f t="shared" si="29"/>
        <v>0.020322022622120257</v>
      </c>
      <c r="N94" s="10"/>
      <c r="R94" s="2"/>
    </row>
    <row r="95" spans="1:18" ht="15">
      <c r="A95" s="274"/>
      <c r="B95" s="20">
        <f>DATE(2016,6,1)</f>
        <v>42522</v>
      </c>
      <c r="C95" s="21">
        <v>148862</v>
      </c>
      <c r="D95" s="21">
        <v>151987</v>
      </c>
      <c r="E95" s="23">
        <f t="shared" si="25"/>
        <v>-0.02056096903024601</v>
      </c>
      <c r="F95" s="21">
        <f>+C95-69027</f>
        <v>79835</v>
      </c>
      <c r="G95" s="21">
        <f>+D95-70034</f>
        <v>81953</v>
      </c>
      <c r="H95" s="23">
        <f>(+F95-G95)/G95</f>
        <v>-0.025844081363708468</v>
      </c>
      <c r="I95" s="24">
        <f>K95/C95</f>
        <v>33.96596156171488</v>
      </c>
      <c r="J95" s="24">
        <f>K95/F95</f>
        <v>63.33363775286528</v>
      </c>
      <c r="K95" s="21">
        <v>5056240.97</v>
      </c>
      <c r="L95" s="21">
        <v>4888016.57</v>
      </c>
      <c r="M95" s="25">
        <f t="shared" si="29"/>
        <v>0.03441567711379494</v>
      </c>
      <c r="N95" s="10"/>
      <c r="R95" s="2"/>
    </row>
    <row r="96" spans="1:18" ht="15.75" customHeight="1" thickBot="1">
      <c r="A96" s="19"/>
      <c r="B96" s="20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customHeight="1" thickBot="1" thickTop="1">
      <c r="A97" s="39" t="s">
        <v>14</v>
      </c>
      <c r="B97" s="52"/>
      <c r="C97" s="47">
        <f>SUM(C84:C96)</f>
        <v>1864639</v>
      </c>
      <c r="D97" s="48">
        <f>SUM(D84:D96)</f>
        <v>1930482</v>
      </c>
      <c r="E97" s="281">
        <f>(+C97-D97)/D97</f>
        <v>-0.034107026120937675</v>
      </c>
      <c r="F97" s="48">
        <f>SUM(F84:F96)</f>
        <v>980464</v>
      </c>
      <c r="G97" s="47">
        <f>SUM(G84:G96)</f>
        <v>1016597</v>
      </c>
      <c r="H97" s="46">
        <f>(+F97-G97)/G97</f>
        <v>-0.03554309131347033</v>
      </c>
      <c r="I97" s="51">
        <f>K97/C97</f>
        <v>34.75552703767324</v>
      </c>
      <c r="J97" s="50">
        <f>K97/F97</f>
        <v>66.09779775698036</v>
      </c>
      <c r="K97" s="47">
        <f>SUM(K84:K96)</f>
        <v>64806511.17999999</v>
      </c>
      <c r="L97" s="48">
        <f>SUM(L84:L96)</f>
        <v>62993073.160000004</v>
      </c>
      <c r="M97" s="44">
        <f>(+K97-L97)/L97</f>
        <v>0.02878789570075308</v>
      </c>
      <c r="N97" s="10"/>
      <c r="R97" s="2"/>
    </row>
    <row r="98" spans="1:18" ht="15.75" customHeight="1" thickTop="1">
      <c r="A98" s="19"/>
      <c r="B98" s="45"/>
      <c r="C98" s="21"/>
      <c r="D98" s="21"/>
      <c r="E98" s="23"/>
      <c r="F98" s="21"/>
      <c r="G98" s="21"/>
      <c r="H98" s="23"/>
      <c r="I98" s="24"/>
      <c r="J98" s="24"/>
      <c r="K98" s="21"/>
      <c r="L98" s="21"/>
      <c r="M98" s="25"/>
      <c r="N98" s="10"/>
      <c r="R98" s="2"/>
    </row>
    <row r="99" spans="1:18" ht="15">
      <c r="A99" s="19" t="s">
        <v>17</v>
      </c>
      <c r="B99" s="20">
        <f>DATE(2015,7,1)</f>
        <v>42186</v>
      </c>
      <c r="C99" s="21">
        <v>222762</v>
      </c>
      <c r="D99" s="21">
        <v>237534</v>
      </c>
      <c r="E99" s="23">
        <f aca="true" t="shared" si="30" ref="E99:E110">(+C99-D99)/D99</f>
        <v>-0.062188991891687084</v>
      </c>
      <c r="F99" s="21">
        <f>+C99-111188</f>
        <v>111574</v>
      </c>
      <c r="G99" s="21">
        <f>+D99-122793</f>
        <v>114741</v>
      </c>
      <c r="H99" s="23">
        <f aca="true" t="shared" si="31" ref="H99:H110">(+F99-G99)/G99</f>
        <v>-0.027601293347626392</v>
      </c>
      <c r="I99" s="24">
        <f aca="true" t="shared" si="32" ref="I99:I110">K99/C99</f>
        <v>31.127868981244557</v>
      </c>
      <c r="J99" s="24">
        <f aca="true" t="shared" si="33" ref="J99:J110">K99/F99</f>
        <v>62.14804838044705</v>
      </c>
      <c r="K99" s="21">
        <v>6934106.35</v>
      </c>
      <c r="L99" s="21">
        <v>6344090.08</v>
      </c>
      <c r="M99" s="25">
        <f aca="true" t="shared" si="34" ref="M99:M110">(+K99-L99)/L99</f>
        <v>0.09300250509683802</v>
      </c>
      <c r="N99" s="10"/>
      <c r="R99" s="2"/>
    </row>
    <row r="100" spans="1:18" ht="15">
      <c r="A100" s="19"/>
      <c r="B100" s="20">
        <f>DATE(2015,8,1)</f>
        <v>42217</v>
      </c>
      <c r="C100" s="21">
        <v>204772</v>
      </c>
      <c r="D100" s="21">
        <v>229835</v>
      </c>
      <c r="E100" s="23">
        <f t="shared" si="30"/>
        <v>-0.10904779515739552</v>
      </c>
      <c r="F100" s="21">
        <f>+C100-100910</f>
        <v>103862</v>
      </c>
      <c r="G100" s="21">
        <f>+D100-114377</f>
        <v>115458</v>
      </c>
      <c r="H100" s="23">
        <f t="shared" si="31"/>
        <v>-0.10043479014013754</v>
      </c>
      <c r="I100" s="24">
        <f t="shared" si="32"/>
        <v>31.575567802238588</v>
      </c>
      <c r="J100" s="24">
        <f t="shared" si="33"/>
        <v>62.25368440815698</v>
      </c>
      <c r="K100" s="21">
        <v>6465792.17</v>
      </c>
      <c r="L100" s="21">
        <v>6420621.27</v>
      </c>
      <c r="M100" s="25">
        <f t="shared" si="34"/>
        <v>0.00703528492033301</v>
      </c>
      <c r="N100" s="10"/>
      <c r="R100" s="2"/>
    </row>
    <row r="101" spans="1:18" ht="15">
      <c r="A101" s="19"/>
      <c r="B101" s="20">
        <f>DATE(2015,9,1)</f>
        <v>42248</v>
      </c>
      <c r="C101" s="21">
        <v>195370</v>
      </c>
      <c r="D101" s="21">
        <v>204323</v>
      </c>
      <c r="E101" s="23">
        <f t="shared" si="30"/>
        <v>-0.043817876597348315</v>
      </c>
      <c r="F101" s="21">
        <f>+C101-98492</f>
        <v>96878</v>
      </c>
      <c r="G101" s="21">
        <f>+D101-98157</f>
        <v>106166</v>
      </c>
      <c r="H101" s="23">
        <f t="shared" si="31"/>
        <v>-0.08748563570257897</v>
      </c>
      <c r="I101" s="24">
        <f t="shared" si="32"/>
        <v>30.130336131442903</v>
      </c>
      <c r="J101" s="24">
        <f t="shared" si="33"/>
        <v>60.76264755672082</v>
      </c>
      <c r="K101" s="21">
        <v>5886563.77</v>
      </c>
      <c r="L101" s="21">
        <v>6024259.95</v>
      </c>
      <c r="M101" s="25">
        <f t="shared" si="34"/>
        <v>-0.022856945275079078</v>
      </c>
      <c r="N101" s="10"/>
      <c r="R101" s="2"/>
    </row>
    <row r="102" spans="1:18" ht="15">
      <c r="A102" s="19"/>
      <c r="B102" s="20">
        <f>DATE(2015,10,1)</f>
        <v>42278</v>
      </c>
      <c r="C102" s="21">
        <v>197483</v>
      </c>
      <c r="D102" s="21">
        <v>210762</v>
      </c>
      <c r="E102" s="23">
        <f t="shared" si="30"/>
        <v>-0.06300471622019149</v>
      </c>
      <c r="F102" s="21">
        <f>+C102-99879</f>
        <v>97604</v>
      </c>
      <c r="G102" s="21">
        <f>+D102-103458</f>
        <v>107304</v>
      </c>
      <c r="H102" s="23">
        <f t="shared" si="31"/>
        <v>-0.09039737568031014</v>
      </c>
      <c r="I102" s="24">
        <f t="shared" si="32"/>
        <v>30.691315201814838</v>
      </c>
      <c r="J102" s="24">
        <f t="shared" si="33"/>
        <v>62.09799803286751</v>
      </c>
      <c r="K102" s="21">
        <v>6061013</v>
      </c>
      <c r="L102" s="21">
        <v>6247990.4</v>
      </c>
      <c r="M102" s="25">
        <f t="shared" si="34"/>
        <v>-0.029926006288357992</v>
      </c>
      <c r="N102" s="10"/>
      <c r="R102" s="2"/>
    </row>
    <row r="103" spans="1:18" ht="15">
      <c r="A103" s="19"/>
      <c r="B103" s="20">
        <f>DATE(2015,11,1)</f>
        <v>42309</v>
      </c>
      <c r="C103" s="21">
        <v>174216</v>
      </c>
      <c r="D103" s="21">
        <v>201690</v>
      </c>
      <c r="E103" s="23">
        <f t="shared" si="30"/>
        <v>-0.13621894987356833</v>
      </c>
      <c r="F103" s="21">
        <f>+C103-82386</f>
        <v>91830</v>
      </c>
      <c r="G103" s="21">
        <f>+D103-98548</f>
        <v>103142</v>
      </c>
      <c r="H103" s="23">
        <f t="shared" si="31"/>
        <v>-0.10967404161253418</v>
      </c>
      <c r="I103" s="24">
        <f t="shared" si="32"/>
        <v>34.79429782568765</v>
      </c>
      <c r="J103" s="24">
        <f t="shared" si="33"/>
        <v>66.01027322225852</v>
      </c>
      <c r="K103" s="21">
        <v>6061723.39</v>
      </c>
      <c r="L103" s="21">
        <v>6144614.02</v>
      </c>
      <c r="M103" s="25">
        <f t="shared" si="34"/>
        <v>-0.013489965314371348</v>
      </c>
      <c r="N103" s="10"/>
      <c r="R103" s="2"/>
    </row>
    <row r="104" spans="1:18" ht="15">
      <c r="A104" s="19"/>
      <c r="B104" s="20">
        <f>DATE(2015,12,1)</f>
        <v>42339</v>
      </c>
      <c r="C104" s="21">
        <v>198131</v>
      </c>
      <c r="D104" s="21">
        <v>218561</v>
      </c>
      <c r="E104" s="23">
        <f t="shared" si="30"/>
        <v>-0.0934750481558924</v>
      </c>
      <c r="F104" s="21">
        <f>+C104-96720</f>
        <v>101411</v>
      </c>
      <c r="G104" s="21">
        <f>+D104-109540</f>
        <v>109021</v>
      </c>
      <c r="H104" s="23">
        <f t="shared" si="31"/>
        <v>-0.06980306546445181</v>
      </c>
      <c r="I104" s="24">
        <f t="shared" si="32"/>
        <v>32.71994488494986</v>
      </c>
      <c r="J104" s="24">
        <f t="shared" si="33"/>
        <v>63.926353156955365</v>
      </c>
      <c r="K104" s="21">
        <v>6482835.4</v>
      </c>
      <c r="L104" s="21">
        <v>6512486.03</v>
      </c>
      <c r="M104" s="25">
        <f t="shared" si="34"/>
        <v>-0.00455288961287797</v>
      </c>
      <c r="N104" s="10"/>
      <c r="R104" s="2"/>
    </row>
    <row r="105" spans="1:18" ht="15">
      <c r="A105" s="19"/>
      <c r="B105" s="20">
        <f>DATE(2016,1,1)</f>
        <v>42370</v>
      </c>
      <c r="C105" s="21">
        <v>179212</v>
      </c>
      <c r="D105" s="21">
        <v>215579</v>
      </c>
      <c r="E105" s="23">
        <f t="shared" si="30"/>
        <v>-0.16869453889293484</v>
      </c>
      <c r="F105" s="21">
        <f>+C105-86664</f>
        <v>92548</v>
      </c>
      <c r="G105" s="21">
        <f>+D105-109881</f>
        <v>105698</v>
      </c>
      <c r="H105" s="23">
        <f t="shared" si="31"/>
        <v>-0.12441105791973359</v>
      </c>
      <c r="I105" s="24">
        <f t="shared" si="32"/>
        <v>33.67836662723479</v>
      </c>
      <c r="J105" s="24">
        <f t="shared" si="33"/>
        <v>65.21553615421188</v>
      </c>
      <c r="K105" s="21">
        <v>6035567.44</v>
      </c>
      <c r="L105" s="21">
        <v>6275646.09</v>
      </c>
      <c r="M105" s="25">
        <f t="shared" si="34"/>
        <v>-0.03825560692190012</v>
      </c>
      <c r="N105" s="10"/>
      <c r="R105" s="2"/>
    </row>
    <row r="106" spans="1:18" ht="15">
      <c r="A106" s="19"/>
      <c r="B106" s="20">
        <f>DATE(2016,2,1)</f>
        <v>42401</v>
      </c>
      <c r="C106" s="21">
        <v>198987</v>
      </c>
      <c r="D106" s="21">
        <v>204920</v>
      </c>
      <c r="E106" s="23">
        <f t="shared" si="30"/>
        <v>-0.028952762053484286</v>
      </c>
      <c r="F106" s="21">
        <f>+C106-96672</f>
        <v>102315</v>
      </c>
      <c r="G106" s="21">
        <f>+D106-105398</f>
        <v>99522</v>
      </c>
      <c r="H106" s="23">
        <f t="shared" si="31"/>
        <v>0.028064146620847653</v>
      </c>
      <c r="I106" s="24">
        <f t="shared" si="32"/>
        <v>35.62104634976154</v>
      </c>
      <c r="J106" s="24">
        <f t="shared" si="33"/>
        <v>69.27747788691785</v>
      </c>
      <c r="K106" s="21">
        <v>7088125.15</v>
      </c>
      <c r="L106" s="21">
        <v>6818816.51</v>
      </c>
      <c r="M106" s="25">
        <f t="shared" si="34"/>
        <v>0.03949492402457983</v>
      </c>
      <c r="N106" s="10"/>
      <c r="R106" s="2"/>
    </row>
    <row r="107" spans="1:18" ht="15">
      <c r="A107" s="19"/>
      <c r="B107" s="20">
        <f>DATE(2016,3,1)</f>
        <v>42430</v>
      </c>
      <c r="C107" s="21">
        <v>200431</v>
      </c>
      <c r="D107" s="21">
        <v>222369</v>
      </c>
      <c r="E107" s="23">
        <f t="shared" si="30"/>
        <v>-0.09865583781912048</v>
      </c>
      <c r="F107" s="21">
        <f>+C107-95601</f>
        <v>104830</v>
      </c>
      <c r="G107" s="21">
        <f>+D107-110859</f>
        <v>111510</v>
      </c>
      <c r="H107" s="23">
        <f t="shared" si="31"/>
        <v>-0.059904941260873465</v>
      </c>
      <c r="I107" s="24">
        <f t="shared" si="32"/>
        <v>34.8486573933174</v>
      </c>
      <c r="J107" s="24">
        <f t="shared" si="33"/>
        <v>66.62931651244872</v>
      </c>
      <c r="K107" s="21">
        <v>6984751.25</v>
      </c>
      <c r="L107" s="21">
        <v>7300436.04</v>
      </c>
      <c r="M107" s="25">
        <f t="shared" si="34"/>
        <v>-0.04324190887644569</v>
      </c>
      <c r="N107" s="10"/>
      <c r="R107" s="2"/>
    </row>
    <row r="108" spans="1:18" ht="15">
      <c r="A108" s="19"/>
      <c r="B108" s="20">
        <f>DATE(2016,4,1)</f>
        <v>42461</v>
      </c>
      <c r="C108" s="21">
        <v>194749</v>
      </c>
      <c r="D108" s="21">
        <v>212744</v>
      </c>
      <c r="E108" s="23">
        <f t="shared" si="30"/>
        <v>-0.08458522919565299</v>
      </c>
      <c r="F108" s="21">
        <f>+C108-91572</f>
        <v>103177</v>
      </c>
      <c r="G108" s="21">
        <f>+D108-108023</f>
        <v>104721</v>
      </c>
      <c r="H108" s="23">
        <f t="shared" si="31"/>
        <v>-0.014743938656047974</v>
      </c>
      <c r="I108" s="24">
        <f t="shared" si="32"/>
        <v>35.32831311072201</v>
      </c>
      <c r="J108" s="24">
        <f t="shared" si="33"/>
        <v>66.68301704837319</v>
      </c>
      <c r="K108" s="21">
        <v>6880153.65</v>
      </c>
      <c r="L108" s="21">
        <v>6544914.24</v>
      </c>
      <c r="M108" s="25">
        <f t="shared" si="34"/>
        <v>0.05122136023588296</v>
      </c>
      <c r="N108" s="10"/>
      <c r="R108" s="2"/>
    </row>
    <row r="109" spans="1:18" ht="15">
      <c r="A109" s="19"/>
      <c r="B109" s="20">
        <f>DATE(2016,5,1)</f>
        <v>42491</v>
      </c>
      <c r="C109" s="21">
        <v>192506</v>
      </c>
      <c r="D109" s="21">
        <v>227586</v>
      </c>
      <c r="E109" s="23">
        <f t="shared" si="30"/>
        <v>-0.1541395340662431</v>
      </c>
      <c r="F109" s="21">
        <f>+C109-90448</f>
        <v>102058</v>
      </c>
      <c r="G109" s="21">
        <f>+D109-116230</f>
        <v>111356</v>
      </c>
      <c r="H109" s="23">
        <f t="shared" si="31"/>
        <v>-0.08349797047307733</v>
      </c>
      <c r="I109" s="24">
        <f t="shared" si="32"/>
        <v>34.208178394439656</v>
      </c>
      <c r="J109" s="24">
        <f t="shared" si="33"/>
        <v>64.52487399321954</v>
      </c>
      <c r="K109" s="21">
        <v>6585279.59</v>
      </c>
      <c r="L109" s="21">
        <v>6853060.73</v>
      </c>
      <c r="M109" s="25">
        <f t="shared" si="34"/>
        <v>-0.03907467780458449</v>
      </c>
      <c r="N109" s="10"/>
      <c r="R109" s="2"/>
    </row>
    <row r="110" spans="1:18" ht="15">
      <c r="A110" s="19"/>
      <c r="B110" s="20">
        <f>DATE(2016,6,1)</f>
        <v>42522</v>
      </c>
      <c r="C110" s="21">
        <v>182863</v>
      </c>
      <c r="D110" s="21">
        <v>214877</v>
      </c>
      <c r="E110" s="23">
        <f t="shared" si="30"/>
        <v>-0.1489875603252093</v>
      </c>
      <c r="F110" s="21">
        <f>+C110-85417</f>
        <v>97446</v>
      </c>
      <c r="G110" s="21">
        <f>+D110-109803</f>
        <v>105074</v>
      </c>
      <c r="H110" s="23">
        <f t="shared" si="31"/>
        <v>-0.07259645583112853</v>
      </c>
      <c r="I110" s="24">
        <f t="shared" si="32"/>
        <v>32.64001952281216</v>
      </c>
      <c r="J110" s="24">
        <f t="shared" si="33"/>
        <v>61.25086601810233</v>
      </c>
      <c r="K110" s="21">
        <v>5968651.89</v>
      </c>
      <c r="L110" s="21">
        <v>6180903.33</v>
      </c>
      <c r="M110" s="25">
        <f t="shared" si="34"/>
        <v>-0.034339873747871806</v>
      </c>
      <c r="N110" s="10"/>
      <c r="R110" s="2"/>
    </row>
    <row r="111" spans="1:18" ht="15.75" customHeight="1" thickBot="1">
      <c r="A111" s="19"/>
      <c r="B111" s="45"/>
      <c r="C111" s="21"/>
      <c r="D111" s="21"/>
      <c r="E111" s="23"/>
      <c r="F111" s="21"/>
      <c r="G111" s="21"/>
      <c r="H111" s="23"/>
      <c r="I111" s="24"/>
      <c r="J111" s="24"/>
      <c r="K111" s="21"/>
      <c r="L111" s="21"/>
      <c r="M111" s="25"/>
      <c r="N111" s="10"/>
      <c r="R111" s="2"/>
    </row>
    <row r="112" spans="1:18" ht="17.25" customHeight="1" thickBot="1" thickTop="1">
      <c r="A112" s="39" t="s">
        <v>14</v>
      </c>
      <c r="B112" s="52"/>
      <c r="C112" s="47">
        <f>SUM(C99:C111)</f>
        <v>2341482</v>
      </c>
      <c r="D112" s="48">
        <f>SUM(D99:D111)</f>
        <v>2600780</v>
      </c>
      <c r="E112" s="281">
        <f>(+C112-D112)/D112</f>
        <v>-0.0997000899730081</v>
      </c>
      <c r="F112" s="48">
        <f>SUM(F99:F111)</f>
        <v>1205533</v>
      </c>
      <c r="G112" s="47">
        <f>SUM(G99:G111)</f>
        <v>1293713</v>
      </c>
      <c r="H112" s="53">
        <f>(+F112-G112)/G112</f>
        <v>-0.06816040342796277</v>
      </c>
      <c r="I112" s="51">
        <f>K112/C112</f>
        <v>33.07074880353554</v>
      </c>
      <c r="J112" s="50">
        <f>K112/F112</f>
        <v>64.23263655992827</v>
      </c>
      <c r="K112" s="47">
        <f>SUM(K99:K111)</f>
        <v>77434563.05</v>
      </c>
      <c r="L112" s="48">
        <f>SUM(L99:L111)</f>
        <v>77667838.69</v>
      </c>
      <c r="M112" s="44">
        <f>(+K112-L112)/L112</f>
        <v>-0.003003503688715824</v>
      </c>
      <c r="N112" s="10"/>
      <c r="R112" s="2"/>
    </row>
    <row r="113" spans="1:18" ht="15.75" customHeight="1" thickTop="1">
      <c r="A113" s="19"/>
      <c r="B113" s="45"/>
      <c r="C113" s="21"/>
      <c r="D113" s="21"/>
      <c r="E113" s="23"/>
      <c r="F113" s="21"/>
      <c r="G113" s="21"/>
      <c r="H113" s="23"/>
      <c r="I113" s="24"/>
      <c r="J113" s="24"/>
      <c r="K113" s="21"/>
      <c r="L113" s="21"/>
      <c r="M113" s="25"/>
      <c r="N113" s="10"/>
      <c r="R113" s="2"/>
    </row>
    <row r="114" spans="1:18" ht="15.75" customHeight="1">
      <c r="A114" s="19" t="s">
        <v>68</v>
      </c>
      <c r="B114" s="20">
        <f>DATE(2015,7,1)</f>
        <v>42186</v>
      </c>
      <c r="C114" s="21">
        <v>315217</v>
      </c>
      <c r="D114" s="21">
        <v>381777</v>
      </c>
      <c r="E114" s="23">
        <f aca="true" t="shared" si="35" ref="E114:E125">(+C114-D114)/D114</f>
        <v>-0.17434261361999281</v>
      </c>
      <c r="F114" s="21">
        <f>+C114-154386</f>
        <v>160831</v>
      </c>
      <c r="G114" s="21">
        <f>+D114-188816</f>
        <v>192961</v>
      </c>
      <c r="H114" s="23">
        <f aca="true" t="shared" si="36" ref="H114:H125">(+F114-G114)/G114</f>
        <v>-0.16651033110317628</v>
      </c>
      <c r="I114" s="24">
        <f aca="true" t="shared" si="37" ref="I114:I125">K114/C114</f>
        <v>35.09699375350949</v>
      </c>
      <c r="J114" s="24">
        <f aca="true" t="shared" si="38" ref="J114:J125">K114/F114</f>
        <v>68.78754145655999</v>
      </c>
      <c r="K114" s="21">
        <v>11063169.08</v>
      </c>
      <c r="L114" s="21">
        <v>11801216.19</v>
      </c>
      <c r="M114" s="25">
        <f aca="true" t="shared" si="39" ref="M114:M125">(+K114-L114)/L114</f>
        <v>-0.06253991945553872</v>
      </c>
      <c r="N114" s="10"/>
      <c r="R114" s="2"/>
    </row>
    <row r="115" spans="1:18" ht="15.75" customHeight="1">
      <c r="A115" s="19"/>
      <c r="B115" s="20">
        <f>DATE(2015,8,1)</f>
        <v>42217</v>
      </c>
      <c r="C115" s="21">
        <v>310472</v>
      </c>
      <c r="D115" s="21">
        <v>398587</v>
      </c>
      <c r="E115" s="23">
        <f t="shared" si="35"/>
        <v>-0.22106842420851658</v>
      </c>
      <c r="F115" s="21">
        <f>+C115-153162</f>
        <v>157310</v>
      </c>
      <c r="G115" s="21">
        <f>+D115-196528</f>
        <v>202059</v>
      </c>
      <c r="H115" s="23">
        <f t="shared" si="36"/>
        <v>-0.2214650176433616</v>
      </c>
      <c r="I115" s="24">
        <f t="shared" si="37"/>
        <v>34.08608557293412</v>
      </c>
      <c r="J115" s="24">
        <f t="shared" si="38"/>
        <v>67.27337842476639</v>
      </c>
      <c r="K115" s="21">
        <v>10582775.16</v>
      </c>
      <c r="L115" s="21">
        <v>12867985.81</v>
      </c>
      <c r="M115" s="25">
        <f t="shared" si="39"/>
        <v>-0.17758883820217705</v>
      </c>
      <c r="N115" s="10"/>
      <c r="R115" s="2"/>
    </row>
    <row r="116" spans="1:18" ht="15.75" customHeight="1">
      <c r="A116" s="19"/>
      <c r="B116" s="20">
        <f>DATE(2015,9,1)</f>
        <v>42248</v>
      </c>
      <c r="C116" s="21">
        <v>341523</v>
      </c>
      <c r="D116" s="21">
        <v>349419</v>
      </c>
      <c r="E116" s="23">
        <f t="shared" si="35"/>
        <v>-0.02259751186970371</v>
      </c>
      <c r="F116" s="21">
        <f>+C116-167601</f>
        <v>173922</v>
      </c>
      <c r="G116" s="21">
        <f>+D116-171468</f>
        <v>177951</v>
      </c>
      <c r="H116" s="23">
        <f t="shared" si="36"/>
        <v>-0.022641064113154745</v>
      </c>
      <c r="I116" s="24">
        <f t="shared" si="37"/>
        <v>34.35739030753419</v>
      </c>
      <c r="J116" s="24">
        <f t="shared" si="38"/>
        <v>67.46609980336012</v>
      </c>
      <c r="K116" s="21">
        <v>11733839.01</v>
      </c>
      <c r="L116" s="21">
        <v>11404539.52</v>
      </c>
      <c r="M116" s="25">
        <f t="shared" si="39"/>
        <v>0.02887442227917329</v>
      </c>
      <c r="N116" s="10"/>
      <c r="R116" s="2"/>
    </row>
    <row r="117" spans="1:18" ht="15.75" customHeight="1">
      <c r="A117" s="19"/>
      <c r="B117" s="20">
        <f>DATE(2015,10,1)</f>
        <v>42278</v>
      </c>
      <c r="C117" s="21">
        <v>323356</v>
      </c>
      <c r="D117" s="21">
        <v>346830</v>
      </c>
      <c r="E117" s="23">
        <f t="shared" si="35"/>
        <v>-0.06768157310497938</v>
      </c>
      <c r="F117" s="21">
        <f>+C117-160209</f>
        <v>163147</v>
      </c>
      <c r="G117" s="21">
        <f>+D117-170451</f>
        <v>176379</v>
      </c>
      <c r="H117" s="23">
        <f t="shared" si="36"/>
        <v>-0.07502026885286797</v>
      </c>
      <c r="I117" s="24">
        <f t="shared" si="37"/>
        <v>37.25070829055282</v>
      </c>
      <c r="J117" s="24">
        <f t="shared" si="38"/>
        <v>73.83059467841885</v>
      </c>
      <c r="K117" s="21">
        <v>12045240.03</v>
      </c>
      <c r="L117" s="21">
        <v>11662606.12</v>
      </c>
      <c r="M117" s="25">
        <f t="shared" si="39"/>
        <v>0.03280861121973655</v>
      </c>
      <c r="N117" s="10"/>
      <c r="R117" s="2"/>
    </row>
    <row r="118" spans="1:18" ht="15.75" customHeight="1">
      <c r="A118" s="19"/>
      <c r="B118" s="20">
        <f>DATE(2015,11,1)</f>
        <v>42309</v>
      </c>
      <c r="C118" s="21">
        <v>300525</v>
      </c>
      <c r="D118" s="21">
        <v>318650</v>
      </c>
      <c r="E118" s="23">
        <f t="shared" si="35"/>
        <v>-0.05688058998901616</v>
      </c>
      <c r="F118" s="21">
        <f>+C118-151311</f>
        <v>149214</v>
      </c>
      <c r="G118" s="21">
        <f>+D118-161543</f>
        <v>157107</v>
      </c>
      <c r="H118" s="23">
        <f t="shared" si="36"/>
        <v>-0.05023964559185778</v>
      </c>
      <c r="I118" s="24">
        <f t="shared" si="37"/>
        <v>36.229006704933035</v>
      </c>
      <c r="J118" s="24">
        <f t="shared" si="38"/>
        <v>72.96716286675513</v>
      </c>
      <c r="K118" s="21">
        <v>10887722.24</v>
      </c>
      <c r="L118" s="21">
        <v>10688839.67</v>
      </c>
      <c r="M118" s="25">
        <f t="shared" si="39"/>
        <v>0.01860656312005476</v>
      </c>
      <c r="N118" s="10"/>
      <c r="R118" s="2"/>
    </row>
    <row r="119" spans="1:18" ht="15.75" customHeight="1">
      <c r="A119" s="19"/>
      <c r="B119" s="20">
        <f>DATE(2015,12,1)</f>
        <v>42339</v>
      </c>
      <c r="C119" s="21">
        <v>323983</v>
      </c>
      <c r="D119" s="21">
        <v>310037</v>
      </c>
      <c r="E119" s="23">
        <f t="shared" si="35"/>
        <v>0.044981727987304744</v>
      </c>
      <c r="F119" s="21">
        <f>+C119-162399</f>
        <v>161584</v>
      </c>
      <c r="G119" s="21">
        <f>+D119-156498</f>
        <v>153539</v>
      </c>
      <c r="H119" s="23">
        <f t="shared" si="36"/>
        <v>0.05239711083177564</v>
      </c>
      <c r="I119" s="24">
        <f t="shared" si="37"/>
        <v>35.36620597377023</v>
      </c>
      <c r="J119" s="24">
        <f t="shared" si="38"/>
        <v>70.91079259085058</v>
      </c>
      <c r="K119" s="21">
        <v>11458049.51</v>
      </c>
      <c r="L119" s="21">
        <v>10203682.6</v>
      </c>
      <c r="M119" s="25">
        <f t="shared" si="39"/>
        <v>0.12293276449034196</v>
      </c>
      <c r="N119" s="10"/>
      <c r="R119" s="2"/>
    </row>
    <row r="120" spans="1:18" ht="15.75" customHeight="1">
      <c r="A120" s="19"/>
      <c r="B120" s="20">
        <f>DATE(2016,1,1)</f>
        <v>42370</v>
      </c>
      <c r="C120" s="21">
        <v>330194</v>
      </c>
      <c r="D120" s="21">
        <v>294458</v>
      </c>
      <c r="E120" s="23">
        <f t="shared" si="35"/>
        <v>0.12136195993995748</v>
      </c>
      <c r="F120" s="21">
        <f>+C120-165475</f>
        <v>164719</v>
      </c>
      <c r="G120" s="21">
        <f>+D120-151506</f>
        <v>142952</v>
      </c>
      <c r="H120" s="23">
        <f t="shared" si="36"/>
        <v>0.15226789411830544</v>
      </c>
      <c r="I120" s="24">
        <f t="shared" si="37"/>
        <v>33.50544392084654</v>
      </c>
      <c r="J120" s="24">
        <f t="shared" si="38"/>
        <v>67.16466558199116</v>
      </c>
      <c r="K120" s="21">
        <v>11063296.55</v>
      </c>
      <c r="L120" s="21">
        <v>10549952.86</v>
      </c>
      <c r="M120" s="25">
        <f t="shared" si="39"/>
        <v>0.04865838708591171</v>
      </c>
      <c r="N120" s="10"/>
      <c r="R120" s="2"/>
    </row>
    <row r="121" spans="1:18" ht="15.75" customHeight="1">
      <c r="A121" s="19"/>
      <c r="B121" s="20">
        <f>DATE(2016,2,1)</f>
        <v>42401</v>
      </c>
      <c r="C121" s="21">
        <v>344357</v>
      </c>
      <c r="D121" s="21">
        <v>336332</v>
      </c>
      <c r="E121" s="23">
        <f t="shared" si="35"/>
        <v>0.02386035227097035</v>
      </c>
      <c r="F121" s="21">
        <f>+C121-174966</f>
        <v>169391</v>
      </c>
      <c r="G121" s="21">
        <f>+D121-177545</f>
        <v>158787</v>
      </c>
      <c r="H121" s="23">
        <f t="shared" si="36"/>
        <v>0.0667812856216189</v>
      </c>
      <c r="I121" s="24">
        <f t="shared" si="37"/>
        <v>35.5678977921169</v>
      </c>
      <c r="J121" s="24">
        <f t="shared" si="38"/>
        <v>72.30640695196321</v>
      </c>
      <c r="K121" s="21">
        <v>12248054.58</v>
      </c>
      <c r="L121" s="21">
        <v>11425613.13</v>
      </c>
      <c r="M121" s="25">
        <f t="shared" si="39"/>
        <v>0.07198225956386808</v>
      </c>
      <c r="N121" s="10"/>
      <c r="R121" s="2"/>
    </row>
    <row r="122" spans="1:18" ht="15.75" customHeight="1">
      <c r="A122" s="19"/>
      <c r="B122" s="20">
        <f>DATE(2016,3,1)</f>
        <v>42430</v>
      </c>
      <c r="C122" s="21">
        <v>338187</v>
      </c>
      <c r="D122" s="21">
        <v>343952</v>
      </c>
      <c r="E122" s="23">
        <f t="shared" si="35"/>
        <v>-0.01676105968274643</v>
      </c>
      <c r="F122" s="21">
        <f>+C122-171050</f>
        <v>167137</v>
      </c>
      <c r="G122" s="21">
        <f>+D122-174544</f>
        <v>169408</v>
      </c>
      <c r="H122" s="23">
        <f t="shared" si="36"/>
        <v>-0.013405506233471856</v>
      </c>
      <c r="I122" s="24">
        <f t="shared" si="37"/>
        <v>38.43181789956444</v>
      </c>
      <c r="J122" s="24">
        <f t="shared" si="38"/>
        <v>77.76339888833711</v>
      </c>
      <c r="K122" s="21">
        <v>12997141.2</v>
      </c>
      <c r="L122" s="21">
        <v>12266901.86</v>
      </c>
      <c r="M122" s="25">
        <f t="shared" si="39"/>
        <v>0.05952923960215003</v>
      </c>
      <c r="N122" s="10"/>
      <c r="R122" s="2"/>
    </row>
    <row r="123" spans="1:18" ht="15.75" customHeight="1">
      <c r="A123" s="19"/>
      <c r="B123" s="20">
        <f>DATE(2016,4,1)</f>
        <v>42461</v>
      </c>
      <c r="C123" s="21">
        <v>328888</v>
      </c>
      <c r="D123" s="21">
        <v>315572</v>
      </c>
      <c r="E123" s="23">
        <f t="shared" si="35"/>
        <v>0.04219639258235838</v>
      </c>
      <c r="F123" s="21">
        <f>+C123-160001</f>
        <v>168887</v>
      </c>
      <c r="G123" s="21">
        <f>+D123-158187</f>
        <v>157385</v>
      </c>
      <c r="H123" s="23">
        <f t="shared" si="36"/>
        <v>0.07308193283985132</v>
      </c>
      <c r="I123" s="24">
        <f t="shared" si="37"/>
        <v>38.061611125976015</v>
      </c>
      <c r="J123" s="24">
        <f t="shared" si="38"/>
        <v>74.12060821732875</v>
      </c>
      <c r="K123" s="21">
        <v>12518007.16</v>
      </c>
      <c r="L123" s="21">
        <v>10746450.79</v>
      </c>
      <c r="M123" s="25">
        <f t="shared" si="39"/>
        <v>0.16485036823957774</v>
      </c>
      <c r="N123" s="10"/>
      <c r="R123" s="2"/>
    </row>
    <row r="124" spans="1:18" ht="15.75" customHeight="1">
      <c r="A124" s="19"/>
      <c r="B124" s="20">
        <f>DATE(2016,5,1)</f>
        <v>42491</v>
      </c>
      <c r="C124" s="21">
        <v>317111</v>
      </c>
      <c r="D124" s="21">
        <v>331601</v>
      </c>
      <c r="E124" s="23">
        <f t="shared" si="35"/>
        <v>-0.0436970937964602</v>
      </c>
      <c r="F124" s="21">
        <f>+C124-153667</f>
        <v>163444</v>
      </c>
      <c r="G124" s="21">
        <f>+D124-166031</f>
        <v>165570</v>
      </c>
      <c r="H124" s="23">
        <f t="shared" si="36"/>
        <v>-0.012840490427009724</v>
      </c>
      <c r="I124" s="24">
        <f t="shared" si="37"/>
        <v>34.841611643872334</v>
      </c>
      <c r="J124" s="24">
        <f t="shared" si="38"/>
        <v>67.59904499400406</v>
      </c>
      <c r="K124" s="21">
        <v>11048658.31</v>
      </c>
      <c r="L124" s="21">
        <v>11912467.49</v>
      </c>
      <c r="M124" s="25">
        <f t="shared" si="39"/>
        <v>-0.0725130356683139</v>
      </c>
      <c r="N124" s="10"/>
      <c r="R124" s="2"/>
    </row>
    <row r="125" spans="1:18" ht="15.75" customHeight="1">
      <c r="A125" s="19"/>
      <c r="B125" s="20">
        <f>DATE(2016,6,1)</f>
        <v>42522</v>
      </c>
      <c r="C125" s="21">
        <v>279856</v>
      </c>
      <c r="D125" s="21">
        <v>290887</v>
      </c>
      <c r="E125" s="23">
        <f t="shared" si="35"/>
        <v>-0.03792194219748562</v>
      </c>
      <c r="F125" s="21">
        <f>+C125-134337</f>
        <v>145519</v>
      </c>
      <c r="G125" s="21">
        <f>+D125-146305</f>
        <v>144582</v>
      </c>
      <c r="H125" s="23">
        <f t="shared" si="36"/>
        <v>0.0064807514075057755</v>
      </c>
      <c r="I125" s="24">
        <f t="shared" si="37"/>
        <v>37.49730354182151</v>
      </c>
      <c r="J125" s="24">
        <f t="shared" si="38"/>
        <v>72.11323181165346</v>
      </c>
      <c r="K125" s="21">
        <v>10493845.38</v>
      </c>
      <c r="L125" s="21">
        <v>10433606.99</v>
      </c>
      <c r="M125" s="25">
        <f t="shared" si="39"/>
        <v>0.0057734961703786196</v>
      </c>
      <c r="N125" s="10"/>
      <c r="R125" s="2"/>
    </row>
    <row r="126" spans="1:18" ht="15.75" customHeight="1" thickBot="1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6.5" thickBot="1" thickTop="1">
      <c r="A127" s="39" t="s">
        <v>14</v>
      </c>
      <c r="B127" s="40"/>
      <c r="C127" s="41">
        <f>SUM(C114:C126)</f>
        <v>3853669</v>
      </c>
      <c r="D127" s="41">
        <f>SUM(D114:D126)</f>
        <v>4018102</v>
      </c>
      <c r="E127" s="280">
        <f>(+C127-D127)/D127</f>
        <v>-0.040923052724893494</v>
      </c>
      <c r="F127" s="41">
        <f>SUM(F114:F126)</f>
        <v>1945105</v>
      </c>
      <c r="G127" s="41">
        <f>SUM(G114:G126)</f>
        <v>1998680</v>
      </c>
      <c r="H127" s="42">
        <f>(+F127-G127)/G127</f>
        <v>-0.026805191426341385</v>
      </c>
      <c r="I127" s="43">
        <f>K127/C127</f>
        <v>35.84630600344762</v>
      </c>
      <c r="J127" s="43">
        <f>K127/F127</f>
        <v>71.01919855740437</v>
      </c>
      <c r="K127" s="41">
        <f>SUM(K114:K126)</f>
        <v>138139798.21</v>
      </c>
      <c r="L127" s="41">
        <f>SUM(L114:L126)</f>
        <v>135963863.02999997</v>
      </c>
      <c r="M127" s="44">
        <f>(+K127-L127)/L127</f>
        <v>0.016003775793866082</v>
      </c>
      <c r="N127" s="10"/>
      <c r="R127" s="2"/>
    </row>
    <row r="128" spans="1:18" ht="15.75" customHeight="1" thickTop="1">
      <c r="A128" s="54"/>
      <c r="B128" s="55"/>
      <c r="C128" s="55"/>
      <c r="D128" s="55"/>
      <c r="E128" s="56"/>
      <c r="F128" s="55"/>
      <c r="G128" s="55"/>
      <c r="H128" s="56"/>
      <c r="I128" s="55"/>
      <c r="J128" s="55"/>
      <c r="K128" s="196"/>
      <c r="L128" s="196"/>
      <c r="M128" s="57"/>
      <c r="N128" s="10"/>
      <c r="R128" s="2"/>
    </row>
    <row r="129" spans="1:18" ht="15.75" customHeight="1">
      <c r="A129" s="19" t="s">
        <v>18</v>
      </c>
      <c r="B129" s="20">
        <f>DATE(2015,7,1)</f>
        <v>42186</v>
      </c>
      <c r="C129" s="21">
        <v>446838</v>
      </c>
      <c r="D129" s="21">
        <v>513388</v>
      </c>
      <c r="E129" s="23">
        <f aca="true" t="shared" si="40" ref="E129:E140">(+C129-D129)/D129</f>
        <v>-0.12962905249051399</v>
      </c>
      <c r="F129" s="21">
        <f>+C129-221384</f>
        <v>225454</v>
      </c>
      <c r="G129" s="21">
        <f>+D129-254695</f>
        <v>258693</v>
      </c>
      <c r="H129" s="23">
        <f aca="true" t="shared" si="41" ref="H129:H140">(+F129-G129)/G129</f>
        <v>-0.12848820803036803</v>
      </c>
      <c r="I129" s="24">
        <f aca="true" t="shared" si="42" ref="I129:I140">K129/C129</f>
        <v>38.1840132441735</v>
      </c>
      <c r="J129" s="24">
        <f aca="true" t="shared" si="43" ref="J129:J140">K129/F129</f>
        <v>75.67871100091371</v>
      </c>
      <c r="K129" s="21">
        <v>17062068.11</v>
      </c>
      <c r="L129" s="21">
        <v>17287226.16</v>
      </c>
      <c r="M129" s="25">
        <f aca="true" t="shared" si="44" ref="M129:M140">(+K129-L129)/L129</f>
        <v>-0.01302453313886655</v>
      </c>
      <c r="N129" s="10"/>
      <c r="R129" s="2"/>
    </row>
    <row r="130" spans="1:18" ht="15.75" customHeight="1">
      <c r="A130" s="19"/>
      <c r="B130" s="20">
        <f>DATE(2015,8,1)</f>
        <v>42217</v>
      </c>
      <c r="C130" s="21">
        <v>477502</v>
      </c>
      <c r="D130" s="21">
        <v>503846</v>
      </c>
      <c r="E130" s="23">
        <f t="shared" si="40"/>
        <v>-0.05228581749185267</v>
      </c>
      <c r="F130" s="21">
        <f>+C130-237521</f>
        <v>239981</v>
      </c>
      <c r="G130" s="21">
        <f>+D130-249972</f>
        <v>253874</v>
      </c>
      <c r="H130" s="23">
        <f t="shared" si="41"/>
        <v>-0.054723996943365605</v>
      </c>
      <c r="I130" s="24">
        <f t="shared" si="42"/>
        <v>36.02355405841232</v>
      </c>
      <c r="J130" s="24">
        <f t="shared" si="43"/>
        <v>71.67783745379842</v>
      </c>
      <c r="K130" s="21">
        <v>17201319.11</v>
      </c>
      <c r="L130" s="21">
        <v>17523268.22</v>
      </c>
      <c r="M130" s="25">
        <f t="shared" si="44"/>
        <v>-0.018372663475672086</v>
      </c>
      <c r="N130" s="10"/>
      <c r="R130" s="2"/>
    </row>
    <row r="131" spans="1:18" ht="15.75" customHeight="1">
      <c r="A131" s="19"/>
      <c r="B131" s="20">
        <f>DATE(2015,9,1)</f>
        <v>42248</v>
      </c>
      <c r="C131" s="21">
        <v>423546</v>
      </c>
      <c r="D131" s="21">
        <v>423883</v>
      </c>
      <c r="E131" s="23">
        <f t="shared" si="40"/>
        <v>-0.0007950307042273458</v>
      </c>
      <c r="F131" s="21">
        <f>+C131-206968</f>
        <v>216578</v>
      </c>
      <c r="G131" s="21">
        <f>+D131-210874</f>
        <v>213009</v>
      </c>
      <c r="H131" s="23">
        <f t="shared" si="41"/>
        <v>0.016755160580069386</v>
      </c>
      <c r="I131" s="24">
        <f t="shared" si="42"/>
        <v>37.94220762325698</v>
      </c>
      <c r="J131" s="24">
        <f t="shared" si="43"/>
        <v>74.20084343746825</v>
      </c>
      <c r="K131" s="21">
        <v>16070270.27</v>
      </c>
      <c r="L131" s="21">
        <v>14701569.39</v>
      </c>
      <c r="M131" s="25">
        <f t="shared" si="44"/>
        <v>0.09309896404196062</v>
      </c>
      <c r="N131" s="10"/>
      <c r="R131" s="2"/>
    </row>
    <row r="132" spans="1:18" ht="15.75" customHeight="1">
      <c r="A132" s="19"/>
      <c r="B132" s="20">
        <f>DATE(2015,10,1)</f>
        <v>42278</v>
      </c>
      <c r="C132" s="21">
        <v>428725</v>
      </c>
      <c r="D132" s="21">
        <v>423551</v>
      </c>
      <c r="E132" s="23">
        <f t="shared" si="40"/>
        <v>0.012215766224138298</v>
      </c>
      <c r="F132" s="21">
        <f>+C132-212348</f>
        <v>216377</v>
      </c>
      <c r="G132" s="21">
        <f>+D132-214777</f>
        <v>208774</v>
      </c>
      <c r="H132" s="23">
        <f t="shared" si="41"/>
        <v>0.03641736997902038</v>
      </c>
      <c r="I132" s="24">
        <f t="shared" si="42"/>
        <v>37.19206097148522</v>
      </c>
      <c r="J132" s="24">
        <f t="shared" si="43"/>
        <v>73.69159540986334</v>
      </c>
      <c r="K132" s="21">
        <v>15945166.34</v>
      </c>
      <c r="L132" s="21">
        <v>15825241.34</v>
      </c>
      <c r="M132" s="25">
        <f t="shared" si="44"/>
        <v>0.007578083482169505</v>
      </c>
      <c r="N132" s="10"/>
      <c r="R132" s="2"/>
    </row>
    <row r="133" spans="1:18" ht="15.75" customHeight="1">
      <c r="A133" s="19"/>
      <c r="B133" s="20">
        <f>DATE(2015,11,1)</f>
        <v>42309</v>
      </c>
      <c r="C133" s="21">
        <v>399222</v>
      </c>
      <c r="D133" s="21">
        <v>431949</v>
      </c>
      <c r="E133" s="23">
        <f t="shared" si="40"/>
        <v>-0.07576588902856587</v>
      </c>
      <c r="F133" s="21">
        <f>+C133-198189</f>
        <v>201033</v>
      </c>
      <c r="G133" s="21">
        <f>+D133-216466</f>
        <v>215483</v>
      </c>
      <c r="H133" s="23">
        <f t="shared" si="41"/>
        <v>-0.06705865427899185</v>
      </c>
      <c r="I133" s="24">
        <f t="shared" si="42"/>
        <v>38.73731337451343</v>
      </c>
      <c r="J133" s="24">
        <f t="shared" si="43"/>
        <v>76.92661264568504</v>
      </c>
      <c r="K133" s="21">
        <v>15464787.72</v>
      </c>
      <c r="L133" s="21">
        <v>14670113.2</v>
      </c>
      <c r="M133" s="25">
        <f t="shared" si="44"/>
        <v>0.054169624267112096</v>
      </c>
      <c r="N133" s="10"/>
      <c r="R133" s="2"/>
    </row>
    <row r="134" spans="1:18" ht="15.75" customHeight="1">
      <c r="A134" s="19"/>
      <c r="B134" s="20">
        <f>DATE(2015,12,1)</f>
        <v>42339</v>
      </c>
      <c r="C134" s="21">
        <v>444710</v>
      </c>
      <c r="D134" s="21">
        <v>445795</v>
      </c>
      <c r="E134" s="23">
        <f t="shared" si="40"/>
        <v>-0.0024338541257753004</v>
      </c>
      <c r="F134" s="21">
        <f>+C134-223999</f>
        <v>220711</v>
      </c>
      <c r="G134" s="21">
        <f>+D134-226584</f>
        <v>219211</v>
      </c>
      <c r="H134" s="23">
        <f t="shared" si="41"/>
        <v>0.0068427223086432705</v>
      </c>
      <c r="I134" s="24">
        <f t="shared" si="42"/>
        <v>37.59778988554339</v>
      </c>
      <c r="J134" s="24">
        <f t="shared" si="43"/>
        <v>75.75568567040156</v>
      </c>
      <c r="K134" s="21">
        <v>16720113.14</v>
      </c>
      <c r="L134" s="21">
        <v>15626586.05</v>
      </c>
      <c r="M134" s="25">
        <f t="shared" si="44"/>
        <v>0.0699786304251657</v>
      </c>
      <c r="N134" s="10"/>
      <c r="R134" s="2"/>
    </row>
    <row r="135" spans="1:18" ht="15.75" customHeight="1">
      <c r="A135" s="19"/>
      <c r="B135" s="20">
        <f>DATE(2016,1,1)</f>
        <v>42370</v>
      </c>
      <c r="C135" s="21">
        <v>440986</v>
      </c>
      <c r="D135" s="21">
        <v>454806</v>
      </c>
      <c r="E135" s="23">
        <f t="shared" si="40"/>
        <v>-0.030386582410962037</v>
      </c>
      <c r="F135" s="21">
        <f>+C135-223461</f>
        <v>217525</v>
      </c>
      <c r="G135" s="21">
        <f>+D135-232827</f>
        <v>221979</v>
      </c>
      <c r="H135" s="23">
        <f t="shared" si="41"/>
        <v>-0.020064961099923867</v>
      </c>
      <c r="I135" s="24">
        <f t="shared" si="42"/>
        <v>36.163687101177814</v>
      </c>
      <c r="J135" s="24">
        <f t="shared" si="43"/>
        <v>73.31423845534997</v>
      </c>
      <c r="K135" s="21">
        <v>15947679.72</v>
      </c>
      <c r="L135" s="21">
        <v>16371402.71</v>
      </c>
      <c r="M135" s="25">
        <f t="shared" si="44"/>
        <v>-0.025881898912741376</v>
      </c>
      <c r="N135" s="10"/>
      <c r="R135" s="2"/>
    </row>
    <row r="136" spans="1:18" ht="15.75" customHeight="1">
      <c r="A136" s="19"/>
      <c r="B136" s="20">
        <f>DATE(2016,2,1)</f>
        <v>42401</v>
      </c>
      <c r="C136" s="21">
        <v>445027</v>
      </c>
      <c r="D136" s="21">
        <v>454077</v>
      </c>
      <c r="E136" s="23">
        <f t="shared" si="40"/>
        <v>-0.01993054041495165</v>
      </c>
      <c r="F136" s="21">
        <f>+C136-223346</f>
        <v>221681</v>
      </c>
      <c r="G136" s="21">
        <f>+D136-235409</f>
        <v>218668</v>
      </c>
      <c r="H136" s="23">
        <f t="shared" si="41"/>
        <v>0.013778879397076848</v>
      </c>
      <c r="I136" s="24">
        <f t="shared" si="42"/>
        <v>39.00000062917531</v>
      </c>
      <c r="J136" s="24">
        <f t="shared" si="43"/>
        <v>78.29292217194978</v>
      </c>
      <c r="K136" s="21">
        <v>17356053.28</v>
      </c>
      <c r="L136" s="21">
        <v>15881302.51</v>
      </c>
      <c r="M136" s="25">
        <f t="shared" si="44"/>
        <v>0.09286081976408378</v>
      </c>
      <c r="N136" s="10"/>
      <c r="R136" s="2"/>
    </row>
    <row r="137" spans="1:18" ht="15.75" customHeight="1">
      <c r="A137" s="19"/>
      <c r="B137" s="20">
        <f>DATE(2016,3,1)</f>
        <v>42430</v>
      </c>
      <c r="C137" s="21">
        <v>456373</v>
      </c>
      <c r="D137" s="21">
        <v>492615</v>
      </c>
      <c r="E137" s="23">
        <f t="shared" si="40"/>
        <v>-0.07357063832810613</v>
      </c>
      <c r="F137" s="21">
        <f>+C137-227297</f>
        <v>229076</v>
      </c>
      <c r="G137" s="21">
        <f>+D137-252742</f>
        <v>239873</v>
      </c>
      <c r="H137" s="23">
        <f t="shared" si="41"/>
        <v>-0.04501131848936729</v>
      </c>
      <c r="I137" s="24">
        <f t="shared" si="42"/>
        <v>40.3357490254682</v>
      </c>
      <c r="J137" s="24">
        <f t="shared" si="43"/>
        <v>80.35825136635876</v>
      </c>
      <c r="K137" s="21">
        <v>18408146.79</v>
      </c>
      <c r="L137" s="21">
        <v>17972593.15</v>
      </c>
      <c r="M137" s="25">
        <f t="shared" si="44"/>
        <v>0.024234323693017035</v>
      </c>
      <c r="N137" s="10"/>
      <c r="R137" s="2"/>
    </row>
    <row r="138" spans="1:18" ht="15.75" customHeight="1">
      <c r="A138" s="19"/>
      <c r="B138" s="20">
        <f>DATE(2016,4,1)</f>
        <v>42461</v>
      </c>
      <c r="C138" s="21">
        <v>434221</v>
      </c>
      <c r="D138" s="21">
        <v>434073</v>
      </c>
      <c r="E138" s="23">
        <f t="shared" si="40"/>
        <v>0.00034095647506295025</v>
      </c>
      <c r="F138" s="21">
        <f>+C138-223435</f>
        <v>210786</v>
      </c>
      <c r="G138" s="21">
        <f>+D138-218285</f>
        <v>215788</v>
      </c>
      <c r="H138" s="23">
        <f t="shared" si="41"/>
        <v>-0.02318015830352012</v>
      </c>
      <c r="I138" s="24">
        <f t="shared" si="42"/>
        <v>39.48039023907181</v>
      </c>
      <c r="J138" s="24">
        <f t="shared" si="43"/>
        <v>81.32994852599319</v>
      </c>
      <c r="K138" s="21">
        <v>17143214.53</v>
      </c>
      <c r="L138" s="21">
        <v>16886730.98</v>
      </c>
      <c r="M138" s="25">
        <f t="shared" si="44"/>
        <v>0.015188466631212996</v>
      </c>
      <c r="N138" s="10"/>
      <c r="R138" s="2"/>
    </row>
    <row r="139" spans="1:18" ht="15.75" customHeight="1">
      <c r="A139" s="19"/>
      <c r="B139" s="20">
        <f>DATE(2016,5,1)</f>
        <v>42491</v>
      </c>
      <c r="C139" s="21">
        <v>418555</v>
      </c>
      <c r="D139" s="21">
        <v>481391</v>
      </c>
      <c r="E139" s="23">
        <f t="shared" si="40"/>
        <v>-0.13053006807356182</v>
      </c>
      <c r="F139" s="21">
        <f>+C139-205908</f>
        <v>212647</v>
      </c>
      <c r="G139" s="21">
        <f>+D139-243019</f>
        <v>238372</v>
      </c>
      <c r="H139" s="23">
        <f t="shared" si="41"/>
        <v>-0.10791955431006997</v>
      </c>
      <c r="I139" s="24">
        <f t="shared" si="42"/>
        <v>40.9054680507938</v>
      </c>
      <c r="J139" s="24">
        <f t="shared" si="43"/>
        <v>80.51460015894887</v>
      </c>
      <c r="K139" s="21">
        <v>17121188.18</v>
      </c>
      <c r="L139" s="21">
        <v>18154828.96</v>
      </c>
      <c r="M139" s="25">
        <f t="shared" si="44"/>
        <v>-0.05693475726361242</v>
      </c>
      <c r="N139" s="10"/>
      <c r="R139" s="2"/>
    </row>
    <row r="140" spans="1:18" ht="15.75" customHeight="1">
      <c r="A140" s="19"/>
      <c r="B140" s="20">
        <f>DATE(2016,6,1)</f>
        <v>42522</v>
      </c>
      <c r="C140" s="21">
        <v>393190</v>
      </c>
      <c r="D140" s="21">
        <v>418690</v>
      </c>
      <c r="E140" s="23">
        <f t="shared" si="40"/>
        <v>-0.06090424896701617</v>
      </c>
      <c r="F140" s="21">
        <f>+C140-192886</f>
        <v>200304</v>
      </c>
      <c r="G140" s="21">
        <f>+D140-207198</f>
        <v>211492</v>
      </c>
      <c r="H140" s="23">
        <f t="shared" si="41"/>
        <v>-0.0529003461123825</v>
      </c>
      <c r="I140" s="24">
        <f t="shared" si="42"/>
        <v>39.36320837254254</v>
      </c>
      <c r="J140" s="24">
        <f t="shared" si="43"/>
        <v>77.26865115025161</v>
      </c>
      <c r="K140" s="21">
        <v>15477219.9</v>
      </c>
      <c r="L140" s="21">
        <v>15343559.98</v>
      </c>
      <c r="M140" s="25">
        <f t="shared" si="44"/>
        <v>0.008711141363166225</v>
      </c>
      <c r="N140" s="10"/>
      <c r="R140" s="2"/>
    </row>
    <row r="141" spans="1:18" ht="15.75" customHeight="1" thickBot="1">
      <c r="A141" s="19"/>
      <c r="B141" s="45"/>
      <c r="C141" s="21"/>
      <c r="D141" s="21"/>
      <c r="E141" s="23"/>
      <c r="F141" s="21"/>
      <c r="G141" s="21"/>
      <c r="H141" s="23"/>
      <c r="I141" s="24"/>
      <c r="J141" s="24"/>
      <c r="K141" s="21"/>
      <c r="L141" s="21"/>
      <c r="M141" s="25"/>
      <c r="N141" s="10"/>
      <c r="R141" s="2"/>
    </row>
    <row r="142" spans="1:18" ht="16.5" thickBot="1" thickTop="1">
      <c r="A142" s="39" t="s">
        <v>14</v>
      </c>
      <c r="B142" s="40"/>
      <c r="C142" s="41">
        <f>SUM(C129:C141)</f>
        <v>5208895</v>
      </c>
      <c r="D142" s="41">
        <f>SUM(D129:D141)</f>
        <v>5478064</v>
      </c>
      <c r="E142" s="280">
        <f>(+C142-D142)/D142</f>
        <v>-0.04913578957821595</v>
      </c>
      <c r="F142" s="41">
        <f>SUM(F129:F141)</f>
        <v>2612153</v>
      </c>
      <c r="G142" s="41">
        <f>SUM(G129:G141)</f>
        <v>2715216</v>
      </c>
      <c r="H142" s="42">
        <f>(+F142-G142)/G142</f>
        <v>-0.03795756948986747</v>
      </c>
      <c r="I142" s="43">
        <f>K142/C142</f>
        <v>38.37996870545481</v>
      </c>
      <c r="J142" s="43">
        <f>K142/F142</f>
        <v>76.53350592021218</v>
      </c>
      <c r="K142" s="41">
        <f>SUM(K129:K141)</f>
        <v>199917227.09</v>
      </c>
      <c r="L142" s="41">
        <f>SUM(L129:L141)</f>
        <v>196244422.64999998</v>
      </c>
      <c r="M142" s="44">
        <f>(+K142-L142)/L142</f>
        <v>0.018715458968994184</v>
      </c>
      <c r="N142" s="10"/>
      <c r="R142" s="2"/>
    </row>
    <row r="143" spans="1:18" ht="15.75" customHeight="1" thickTop="1">
      <c r="A143" s="54"/>
      <c r="B143" s="55"/>
      <c r="C143" s="55"/>
      <c r="D143" s="55"/>
      <c r="E143" s="56"/>
      <c r="F143" s="55"/>
      <c r="G143" s="55"/>
      <c r="H143" s="56"/>
      <c r="I143" s="55"/>
      <c r="J143" s="55"/>
      <c r="K143" s="196"/>
      <c r="L143" s="196"/>
      <c r="M143" s="57"/>
      <c r="N143" s="10"/>
      <c r="R143" s="2"/>
    </row>
    <row r="144" spans="1:18" ht="15.75" customHeight="1">
      <c r="A144" s="19" t="s">
        <v>58</v>
      </c>
      <c r="B144" s="20">
        <f>DATE(2015,7,1)</f>
        <v>42186</v>
      </c>
      <c r="C144" s="21">
        <v>514553</v>
      </c>
      <c r="D144" s="21">
        <v>498239</v>
      </c>
      <c r="E144" s="23">
        <f aca="true" t="shared" si="45" ref="E144:E155">(+C144-D144)/D144</f>
        <v>0.03274332198001361</v>
      </c>
      <c r="F144" s="21">
        <f>+C144-259358</f>
        <v>255195</v>
      </c>
      <c r="G144" s="21">
        <f>+D144-242414</f>
        <v>255825</v>
      </c>
      <c r="H144" s="23">
        <f aca="true" t="shared" si="46" ref="H144:H155">(+F144-G144)/G144</f>
        <v>-0.0024626209322779246</v>
      </c>
      <c r="I144" s="24">
        <f aca="true" t="shared" si="47" ref="I144:I155">K144/C144</f>
        <v>35.29978771866067</v>
      </c>
      <c r="J144" s="24">
        <f aca="true" t="shared" si="48" ref="J144:J155">K144/F144</f>
        <v>71.17542142283352</v>
      </c>
      <c r="K144" s="21">
        <v>18163611.67</v>
      </c>
      <c r="L144" s="21">
        <v>17739276.55</v>
      </c>
      <c r="M144" s="25">
        <f aca="true" t="shared" si="49" ref="M144:M155">(+K144-L144)/L144</f>
        <v>0.02392065532120029</v>
      </c>
      <c r="N144" s="10"/>
      <c r="R144" s="2"/>
    </row>
    <row r="145" spans="1:18" ht="15.75" customHeight="1">
      <c r="A145" s="19"/>
      <c r="B145" s="20">
        <f>DATE(2015,8,1)</f>
        <v>42217</v>
      </c>
      <c r="C145" s="21">
        <v>515094</v>
      </c>
      <c r="D145" s="21">
        <v>548272</v>
      </c>
      <c r="E145" s="23">
        <f t="shared" si="45"/>
        <v>-0.06051375959377827</v>
      </c>
      <c r="F145" s="21">
        <f>+C145-257865</f>
        <v>257229</v>
      </c>
      <c r="G145" s="21">
        <f>+D145-270985</f>
        <v>277287</v>
      </c>
      <c r="H145" s="23">
        <f t="shared" si="46"/>
        <v>-0.07233660431249932</v>
      </c>
      <c r="I145" s="24">
        <f t="shared" si="47"/>
        <v>36.984126761329</v>
      </c>
      <c r="J145" s="24">
        <f t="shared" si="48"/>
        <v>74.05969696262862</v>
      </c>
      <c r="K145" s="21">
        <v>19050301.79</v>
      </c>
      <c r="L145" s="21">
        <v>18933634.27</v>
      </c>
      <c r="M145" s="25">
        <f t="shared" si="49"/>
        <v>0.006161918960527146</v>
      </c>
      <c r="N145" s="10"/>
      <c r="R145" s="2"/>
    </row>
    <row r="146" spans="1:18" ht="15.75" customHeight="1">
      <c r="A146" s="19"/>
      <c r="B146" s="20">
        <f>DATE(2015,9,1)</f>
        <v>42248</v>
      </c>
      <c r="C146" s="21">
        <v>478366</v>
      </c>
      <c r="D146" s="21">
        <v>462127</v>
      </c>
      <c r="E146" s="23">
        <f t="shared" si="45"/>
        <v>0.03513969103731225</v>
      </c>
      <c r="F146" s="21">
        <f>+C146-245197</f>
        <v>233169</v>
      </c>
      <c r="G146" s="21">
        <f>+D146-224687</f>
        <v>237440</v>
      </c>
      <c r="H146" s="23">
        <f t="shared" si="46"/>
        <v>-0.01798770215633423</v>
      </c>
      <c r="I146" s="24">
        <f t="shared" si="47"/>
        <v>35.96913904834374</v>
      </c>
      <c r="J146" s="24">
        <f t="shared" si="48"/>
        <v>73.79374260729342</v>
      </c>
      <c r="K146" s="21">
        <v>17206413.17</v>
      </c>
      <c r="L146" s="21">
        <v>16685034.36</v>
      </c>
      <c r="M146" s="25">
        <f t="shared" si="49"/>
        <v>0.031248291058359103</v>
      </c>
      <c r="N146" s="10"/>
      <c r="R146" s="2"/>
    </row>
    <row r="147" spans="1:18" ht="15.75" customHeight="1">
      <c r="A147" s="19"/>
      <c r="B147" s="20">
        <f>DATE(2015,10,1)</f>
        <v>42278</v>
      </c>
      <c r="C147" s="21">
        <v>530259</v>
      </c>
      <c r="D147" s="21">
        <v>489378</v>
      </c>
      <c r="E147" s="23">
        <f t="shared" si="45"/>
        <v>0.08353665264887265</v>
      </c>
      <c r="F147" s="21">
        <f>+C147-268433</f>
        <v>261826</v>
      </c>
      <c r="G147" s="21">
        <f>+D147-239568</f>
        <v>249810</v>
      </c>
      <c r="H147" s="23">
        <f t="shared" si="46"/>
        <v>0.04810055642288139</v>
      </c>
      <c r="I147" s="24">
        <f t="shared" si="47"/>
        <v>36.97659198618034</v>
      </c>
      <c r="J147" s="24">
        <f t="shared" si="48"/>
        <v>74.88626297617502</v>
      </c>
      <c r="K147" s="21">
        <v>19607170.69</v>
      </c>
      <c r="L147" s="21">
        <v>17092830.32</v>
      </c>
      <c r="M147" s="25">
        <f t="shared" si="49"/>
        <v>0.14709912418998383</v>
      </c>
      <c r="N147" s="10"/>
      <c r="R147" s="2"/>
    </row>
    <row r="148" spans="1:18" ht="15.75" customHeight="1">
      <c r="A148" s="19"/>
      <c r="B148" s="20">
        <f>DATE(2015,11,1)</f>
        <v>42309</v>
      </c>
      <c r="C148" s="21">
        <v>481687</v>
      </c>
      <c r="D148" s="21">
        <v>484208</v>
      </c>
      <c r="E148" s="23">
        <f t="shared" si="45"/>
        <v>-0.005206440207514126</v>
      </c>
      <c r="F148" s="21">
        <f>+C148-239742</f>
        <v>241945</v>
      </c>
      <c r="G148" s="21">
        <f>+D148-233243</f>
        <v>250965</v>
      </c>
      <c r="H148" s="23">
        <f t="shared" si="46"/>
        <v>-0.03594126671049748</v>
      </c>
      <c r="I148" s="24">
        <f t="shared" si="47"/>
        <v>38.01019184657257</v>
      </c>
      <c r="J148" s="24">
        <f t="shared" si="48"/>
        <v>75.67428663539235</v>
      </c>
      <c r="K148" s="21">
        <v>18309015.28</v>
      </c>
      <c r="L148" s="21">
        <v>17323021.99</v>
      </c>
      <c r="M148" s="25">
        <f t="shared" si="49"/>
        <v>0.056918087996954796</v>
      </c>
      <c r="N148" s="10"/>
      <c r="R148" s="2"/>
    </row>
    <row r="149" spans="1:18" ht="15.75" customHeight="1">
      <c r="A149" s="19"/>
      <c r="B149" s="20">
        <f>DATE(2015,12,1)</f>
        <v>42339</v>
      </c>
      <c r="C149" s="21">
        <v>494183</v>
      </c>
      <c r="D149" s="21">
        <v>492618</v>
      </c>
      <c r="E149" s="23">
        <f t="shared" si="45"/>
        <v>0.0031769038078186345</v>
      </c>
      <c r="F149" s="21">
        <f>+C149-241751</f>
        <v>252432</v>
      </c>
      <c r="G149" s="21">
        <f>+D149-245125</f>
        <v>247493</v>
      </c>
      <c r="H149" s="23">
        <f t="shared" si="46"/>
        <v>0.01995611997106989</v>
      </c>
      <c r="I149" s="24">
        <f t="shared" si="47"/>
        <v>36.701685610391294</v>
      </c>
      <c r="J149" s="24">
        <f t="shared" si="48"/>
        <v>71.85043536477151</v>
      </c>
      <c r="K149" s="21">
        <v>18137349.1</v>
      </c>
      <c r="L149" s="21">
        <v>17756477.32</v>
      </c>
      <c r="M149" s="25">
        <f t="shared" si="49"/>
        <v>0.021449737644245823</v>
      </c>
      <c r="N149" s="10"/>
      <c r="R149" s="2"/>
    </row>
    <row r="150" spans="1:18" ht="15.75" customHeight="1">
      <c r="A150" s="19"/>
      <c r="B150" s="20">
        <f>DATE(2016,1,1)</f>
        <v>42370</v>
      </c>
      <c r="C150" s="21">
        <v>487444</v>
      </c>
      <c r="D150" s="21">
        <v>498176</v>
      </c>
      <c r="E150" s="23">
        <f t="shared" si="45"/>
        <v>-0.02154258735868448</v>
      </c>
      <c r="F150" s="21">
        <f>+C150-243121</f>
        <v>244323</v>
      </c>
      <c r="G150" s="21">
        <f>+D150-252306</f>
        <v>245870</v>
      </c>
      <c r="H150" s="23">
        <f t="shared" si="46"/>
        <v>-0.006291942896652703</v>
      </c>
      <c r="I150" s="24">
        <f t="shared" si="47"/>
        <v>37.4416138058936</v>
      </c>
      <c r="J150" s="24">
        <f t="shared" si="48"/>
        <v>74.69902547038141</v>
      </c>
      <c r="K150" s="21">
        <v>18250690</v>
      </c>
      <c r="L150" s="21">
        <v>17785660.58</v>
      </c>
      <c r="M150" s="25">
        <f t="shared" si="49"/>
        <v>0.026146311401159205</v>
      </c>
      <c r="N150" s="10"/>
      <c r="R150" s="2"/>
    </row>
    <row r="151" spans="1:18" ht="15.75" customHeight="1">
      <c r="A151" s="19"/>
      <c r="B151" s="20">
        <f>DATE(2016,2,1)</f>
        <v>42401</v>
      </c>
      <c r="C151" s="21">
        <v>506314</v>
      </c>
      <c r="D151" s="21">
        <v>481688</v>
      </c>
      <c r="E151" s="23">
        <f t="shared" si="45"/>
        <v>0.05112437926624703</v>
      </c>
      <c r="F151" s="21">
        <f>+C151-245804</f>
        <v>260510</v>
      </c>
      <c r="G151" s="21">
        <f>+D151-239002</f>
        <v>242686</v>
      </c>
      <c r="H151" s="23">
        <f t="shared" si="46"/>
        <v>0.0734446980872403</v>
      </c>
      <c r="I151" s="24">
        <f t="shared" si="47"/>
        <v>37.79437364955344</v>
      </c>
      <c r="J151" s="24">
        <f t="shared" si="48"/>
        <v>73.45522436758665</v>
      </c>
      <c r="K151" s="21">
        <v>19135820.5</v>
      </c>
      <c r="L151" s="21">
        <v>17046021.75</v>
      </c>
      <c r="M151" s="25">
        <f t="shared" si="49"/>
        <v>0.1225974471140165</v>
      </c>
      <c r="N151" s="10"/>
      <c r="R151" s="2"/>
    </row>
    <row r="152" spans="1:18" ht="15.75" customHeight="1">
      <c r="A152" s="19"/>
      <c r="B152" s="20">
        <f>DATE(2016,3,1)</f>
        <v>42430</v>
      </c>
      <c r="C152" s="21">
        <v>517770</v>
      </c>
      <c r="D152" s="21">
        <v>540656</v>
      </c>
      <c r="E152" s="23">
        <f t="shared" si="45"/>
        <v>-0.04233005829954722</v>
      </c>
      <c r="F152" s="21">
        <f>+C152-254771</f>
        <v>262999</v>
      </c>
      <c r="G152" s="21">
        <f>+D152-265478</f>
        <v>275178</v>
      </c>
      <c r="H152" s="23">
        <f t="shared" si="46"/>
        <v>-0.044258625326152524</v>
      </c>
      <c r="I152" s="24">
        <f t="shared" si="47"/>
        <v>38.40843781988142</v>
      </c>
      <c r="J152" s="24">
        <f t="shared" si="48"/>
        <v>75.61525652188791</v>
      </c>
      <c r="K152" s="21">
        <v>19886736.85</v>
      </c>
      <c r="L152" s="21">
        <v>19478931.56</v>
      </c>
      <c r="M152" s="25">
        <f t="shared" si="49"/>
        <v>0.020935711424615883</v>
      </c>
      <c r="N152" s="10"/>
      <c r="R152" s="2"/>
    </row>
    <row r="153" spans="1:18" ht="15.75" customHeight="1">
      <c r="A153" s="19"/>
      <c r="B153" s="20">
        <f>DATE(2016,4,1)</f>
        <v>42461</v>
      </c>
      <c r="C153" s="21">
        <v>465339</v>
      </c>
      <c r="D153" s="21">
        <v>485604</v>
      </c>
      <c r="E153" s="23">
        <f t="shared" si="45"/>
        <v>-0.04173153433661996</v>
      </c>
      <c r="F153" s="21">
        <f>+C153-231131</f>
        <v>234208</v>
      </c>
      <c r="G153" s="21">
        <f>+D153-242511</f>
        <v>243093</v>
      </c>
      <c r="H153" s="23">
        <f t="shared" si="46"/>
        <v>-0.03654979781400534</v>
      </c>
      <c r="I153" s="24">
        <f t="shared" si="47"/>
        <v>39.802158899211115</v>
      </c>
      <c r="J153" s="24">
        <f t="shared" si="48"/>
        <v>79.08140123309195</v>
      </c>
      <c r="K153" s="21">
        <v>18521496.82</v>
      </c>
      <c r="L153" s="21">
        <v>19071643.35</v>
      </c>
      <c r="M153" s="25">
        <f t="shared" si="49"/>
        <v>-0.02884630967052984</v>
      </c>
      <c r="N153" s="10"/>
      <c r="R153" s="2"/>
    </row>
    <row r="154" spans="1:18" ht="15.75" customHeight="1">
      <c r="A154" s="19"/>
      <c r="B154" s="20">
        <f>DATE(2016,5,1)</f>
        <v>42491</v>
      </c>
      <c r="C154" s="21">
        <v>497168</v>
      </c>
      <c r="D154" s="21">
        <v>524479</v>
      </c>
      <c r="E154" s="23">
        <f t="shared" si="45"/>
        <v>-0.052072628265383364</v>
      </c>
      <c r="F154" s="21">
        <f>+C154-246970</f>
        <v>250198</v>
      </c>
      <c r="G154" s="21">
        <f>+D154-260807</f>
        <v>263672</v>
      </c>
      <c r="H154" s="23">
        <f t="shared" si="46"/>
        <v>-0.0511013683667587</v>
      </c>
      <c r="I154" s="24">
        <f t="shared" si="47"/>
        <v>39.12561037717633</v>
      </c>
      <c r="J154" s="24">
        <f t="shared" si="48"/>
        <v>77.7464306669118</v>
      </c>
      <c r="K154" s="21">
        <v>19452001.46</v>
      </c>
      <c r="L154" s="21">
        <v>19726072.96</v>
      </c>
      <c r="M154" s="25">
        <f t="shared" si="49"/>
        <v>-0.0138938703388026</v>
      </c>
      <c r="N154" s="10"/>
      <c r="R154" s="2"/>
    </row>
    <row r="155" spans="1:18" ht="15.75" customHeight="1">
      <c r="A155" s="19"/>
      <c r="B155" s="20">
        <f>DATE(2016,6,1)</f>
        <v>42522</v>
      </c>
      <c r="C155" s="21">
        <v>442081</v>
      </c>
      <c r="D155" s="21">
        <v>498234</v>
      </c>
      <c r="E155" s="23">
        <f t="shared" si="45"/>
        <v>-0.11270407077798786</v>
      </c>
      <c r="F155" s="21">
        <f>+C155-215567</f>
        <v>226514</v>
      </c>
      <c r="G155" s="21">
        <f>+D155-252455</f>
        <v>245779</v>
      </c>
      <c r="H155" s="23">
        <f t="shared" si="46"/>
        <v>-0.07838342576054097</v>
      </c>
      <c r="I155" s="24">
        <f t="shared" si="47"/>
        <v>40.58275668938498</v>
      </c>
      <c r="J155" s="24">
        <f t="shared" si="48"/>
        <v>79.20422428635757</v>
      </c>
      <c r="K155" s="21">
        <v>17940865.66</v>
      </c>
      <c r="L155" s="21">
        <v>17220825.17</v>
      </c>
      <c r="M155" s="25">
        <f t="shared" si="49"/>
        <v>0.04181219441530387</v>
      </c>
      <c r="N155" s="10"/>
      <c r="R155" s="2"/>
    </row>
    <row r="156" spans="1:18" ht="15.75" customHeight="1" thickBot="1">
      <c r="A156" s="19"/>
      <c r="B156" s="45"/>
      <c r="C156" s="21"/>
      <c r="D156" s="21"/>
      <c r="E156" s="23"/>
      <c r="F156" s="21"/>
      <c r="G156" s="21"/>
      <c r="H156" s="23"/>
      <c r="I156" s="24"/>
      <c r="J156" s="24"/>
      <c r="K156" s="21"/>
      <c r="L156" s="21"/>
      <c r="M156" s="25"/>
      <c r="N156" s="10"/>
      <c r="R156" s="2"/>
    </row>
    <row r="157" spans="1:18" ht="16.5" thickBot="1" thickTop="1">
      <c r="A157" s="39" t="s">
        <v>14</v>
      </c>
      <c r="B157" s="40"/>
      <c r="C157" s="41">
        <f>SUM(C144:C156)</f>
        <v>5930258</v>
      </c>
      <c r="D157" s="41">
        <f>SUM(D144:D156)</f>
        <v>6003679</v>
      </c>
      <c r="E157" s="280">
        <f>(+C157-D157)/D157</f>
        <v>-0.012229334712931854</v>
      </c>
      <c r="F157" s="41">
        <f>SUM(F144:F156)</f>
        <v>2980548</v>
      </c>
      <c r="G157" s="41">
        <f>SUM(G144:G156)</f>
        <v>3035098</v>
      </c>
      <c r="H157" s="42">
        <f>(+F157-G157)/G157</f>
        <v>-0.01797306050743666</v>
      </c>
      <c r="I157" s="43">
        <f>K157/C157</f>
        <v>37.71530226678165</v>
      </c>
      <c r="J157" s="43">
        <f>K157/F157</f>
        <v>75.04038619408243</v>
      </c>
      <c r="K157" s="41">
        <f>SUM(K144:K156)</f>
        <v>223661472.99</v>
      </c>
      <c r="L157" s="41">
        <f>SUM(L144:L156)</f>
        <v>215859430.18</v>
      </c>
      <c r="M157" s="44">
        <f>(+K157-L157)/L157</f>
        <v>0.03614409064034898</v>
      </c>
      <c r="N157" s="10"/>
      <c r="R157" s="2"/>
    </row>
    <row r="158" spans="1:18" ht="15.75" customHeight="1" thickTop="1">
      <c r="A158" s="58"/>
      <c r="B158" s="59"/>
      <c r="C158" s="59"/>
      <c r="D158" s="59"/>
      <c r="E158" s="60"/>
      <c r="F158" s="59"/>
      <c r="G158" s="59"/>
      <c r="H158" s="60"/>
      <c r="I158" s="59"/>
      <c r="J158" s="59"/>
      <c r="K158" s="197"/>
      <c r="L158" s="197"/>
      <c r="M158" s="61"/>
      <c r="N158" s="10"/>
      <c r="R158" s="2"/>
    </row>
    <row r="159" spans="1:18" ht="15" customHeight="1">
      <c r="A159" s="19" t="s">
        <v>59</v>
      </c>
      <c r="B159" s="20">
        <f>DATE(2015,7,1)</f>
        <v>42186</v>
      </c>
      <c r="C159" s="21">
        <v>86369</v>
      </c>
      <c r="D159" s="21">
        <v>84999</v>
      </c>
      <c r="E159" s="23">
        <f aca="true" t="shared" si="50" ref="E159:E170">(+C159-D159)/D159</f>
        <v>0.016117836680431534</v>
      </c>
      <c r="F159" s="21">
        <f>+C159-43531</f>
        <v>42838</v>
      </c>
      <c r="G159" s="21">
        <f>+D159-43157</f>
        <v>41842</v>
      </c>
      <c r="H159" s="23">
        <f aca="true" t="shared" si="51" ref="H159:H170">(+F159-G159)/G159</f>
        <v>0.023803833468763445</v>
      </c>
      <c r="I159" s="24">
        <f aca="true" t="shared" si="52" ref="I159:I170">K159/C159</f>
        <v>36.13481121698757</v>
      </c>
      <c r="J159" s="24">
        <f aca="true" t="shared" si="53" ref="J159:J170">K159/F159</f>
        <v>72.85418343526774</v>
      </c>
      <c r="K159" s="21">
        <v>3120927.51</v>
      </c>
      <c r="L159" s="21">
        <v>3033838.74</v>
      </c>
      <c r="M159" s="25">
        <f aca="true" t="shared" si="54" ref="M159:M170">(+K159-L159)/L159</f>
        <v>0.028705800625381805</v>
      </c>
      <c r="N159" s="10"/>
      <c r="R159" s="2"/>
    </row>
    <row r="160" spans="1:18" ht="15" customHeight="1">
      <c r="A160" s="19"/>
      <c r="B160" s="20">
        <f>DATE(2015,8,1)</f>
        <v>42217</v>
      </c>
      <c r="C160" s="21">
        <v>84564</v>
      </c>
      <c r="D160" s="21">
        <v>89307</v>
      </c>
      <c r="E160" s="23">
        <f t="shared" si="50"/>
        <v>-0.05310893882898317</v>
      </c>
      <c r="F160" s="21">
        <f>+C160-42390</f>
        <v>42174</v>
      </c>
      <c r="G160" s="21">
        <f>+D160-44522</f>
        <v>44785</v>
      </c>
      <c r="H160" s="23">
        <f t="shared" si="51"/>
        <v>-0.05830077034721447</v>
      </c>
      <c r="I160" s="24">
        <f t="shared" si="52"/>
        <v>35.948111607776355</v>
      </c>
      <c r="J160" s="24">
        <f t="shared" si="53"/>
        <v>72.08033646322379</v>
      </c>
      <c r="K160" s="21">
        <v>3039916.11</v>
      </c>
      <c r="L160" s="21">
        <v>3250397.13</v>
      </c>
      <c r="M160" s="25">
        <f t="shared" si="54"/>
        <v>-0.06475547804830853</v>
      </c>
      <c r="N160" s="10"/>
      <c r="R160" s="2"/>
    </row>
    <row r="161" spans="1:18" ht="15" customHeight="1">
      <c r="A161" s="19"/>
      <c r="B161" s="20">
        <f>DATE(2015,9,1)</f>
        <v>42248</v>
      </c>
      <c r="C161" s="21">
        <v>79303</v>
      </c>
      <c r="D161" s="21">
        <v>78430</v>
      </c>
      <c r="E161" s="23">
        <f t="shared" si="50"/>
        <v>0.011130944791533853</v>
      </c>
      <c r="F161" s="21">
        <f>+C161-39341</f>
        <v>39962</v>
      </c>
      <c r="G161" s="21">
        <f>+D161-39135</f>
        <v>39295</v>
      </c>
      <c r="H161" s="23">
        <f t="shared" si="51"/>
        <v>0.016974169741697416</v>
      </c>
      <c r="I161" s="24">
        <f t="shared" si="52"/>
        <v>37.316061183057386</v>
      </c>
      <c r="J161" s="24">
        <f t="shared" si="53"/>
        <v>74.05223962764627</v>
      </c>
      <c r="K161" s="21">
        <v>2959275.6</v>
      </c>
      <c r="L161" s="21">
        <v>2730913.84</v>
      </c>
      <c r="M161" s="25">
        <f t="shared" si="54"/>
        <v>0.08362100504789279</v>
      </c>
      <c r="N161" s="10"/>
      <c r="R161" s="2"/>
    </row>
    <row r="162" spans="1:18" ht="15" customHeight="1">
      <c r="A162" s="19"/>
      <c r="B162" s="20">
        <f>DATE(2015,10,1)</f>
        <v>42278</v>
      </c>
      <c r="C162" s="21">
        <v>82043</v>
      </c>
      <c r="D162" s="21">
        <v>82199</v>
      </c>
      <c r="E162" s="23">
        <f t="shared" si="50"/>
        <v>-0.0018978333069745374</v>
      </c>
      <c r="F162" s="21">
        <f>+C162-41359</f>
        <v>40684</v>
      </c>
      <c r="G162" s="21">
        <f>+D162-41678</f>
        <v>40521</v>
      </c>
      <c r="H162" s="23">
        <f t="shared" si="51"/>
        <v>0.004022605562547815</v>
      </c>
      <c r="I162" s="24">
        <f t="shared" si="52"/>
        <v>37.6119707958022</v>
      </c>
      <c r="J162" s="24">
        <f t="shared" si="53"/>
        <v>75.84797266738767</v>
      </c>
      <c r="K162" s="21">
        <v>3085798.92</v>
      </c>
      <c r="L162" s="21">
        <v>2982837.1</v>
      </c>
      <c r="M162" s="25">
        <f t="shared" si="54"/>
        <v>0.03451808347160488</v>
      </c>
      <c r="N162" s="10"/>
      <c r="R162" s="2"/>
    </row>
    <row r="163" spans="1:18" ht="15" customHeight="1">
      <c r="A163" s="19"/>
      <c r="B163" s="20">
        <f>DATE(2015,11,1)</f>
        <v>42309</v>
      </c>
      <c r="C163" s="21">
        <v>72836</v>
      </c>
      <c r="D163" s="21">
        <v>78781</v>
      </c>
      <c r="E163" s="23">
        <f t="shared" si="50"/>
        <v>-0.07546235767507393</v>
      </c>
      <c r="F163" s="21">
        <f>+C163-37465</f>
        <v>35371</v>
      </c>
      <c r="G163" s="21">
        <f>+D163-39817</f>
        <v>38964</v>
      </c>
      <c r="H163" s="23">
        <f t="shared" si="51"/>
        <v>-0.09221332512062416</v>
      </c>
      <c r="I163" s="24">
        <f t="shared" si="52"/>
        <v>40.364291833708606</v>
      </c>
      <c r="J163" s="24">
        <f t="shared" si="53"/>
        <v>83.11819173899522</v>
      </c>
      <c r="K163" s="21">
        <v>2939973.56</v>
      </c>
      <c r="L163" s="21">
        <v>2805137.91</v>
      </c>
      <c r="M163" s="25">
        <f t="shared" si="54"/>
        <v>0.04806738717527079</v>
      </c>
      <c r="N163" s="10"/>
      <c r="R163" s="2"/>
    </row>
    <row r="164" spans="1:18" ht="15" customHeight="1">
      <c r="A164" s="19"/>
      <c r="B164" s="20">
        <f>DATE(2015,12,1)</f>
        <v>42339</v>
      </c>
      <c r="C164" s="21">
        <v>81156</v>
      </c>
      <c r="D164" s="21">
        <v>88756</v>
      </c>
      <c r="E164" s="23">
        <f t="shared" si="50"/>
        <v>-0.08562801388075172</v>
      </c>
      <c r="F164" s="21">
        <f>+C164-41229</f>
        <v>39927</v>
      </c>
      <c r="G164" s="21">
        <f>+D164-44272</f>
        <v>44484</v>
      </c>
      <c r="H164" s="23">
        <f t="shared" si="51"/>
        <v>-0.10244132721877529</v>
      </c>
      <c r="I164" s="24">
        <f t="shared" si="52"/>
        <v>37.842235447779586</v>
      </c>
      <c r="J164" s="24">
        <f t="shared" si="53"/>
        <v>76.91848774012573</v>
      </c>
      <c r="K164" s="21">
        <v>3071124.46</v>
      </c>
      <c r="L164" s="21">
        <v>3011286.54</v>
      </c>
      <c r="M164" s="25">
        <f t="shared" si="54"/>
        <v>0.01987121424851184</v>
      </c>
      <c r="N164" s="10"/>
      <c r="R164" s="2"/>
    </row>
    <row r="165" spans="1:18" ht="15" customHeight="1">
      <c r="A165" s="19"/>
      <c r="B165" s="20">
        <f>DATE(2016,1,1)</f>
        <v>42370</v>
      </c>
      <c r="C165" s="21">
        <v>77890</v>
      </c>
      <c r="D165" s="21">
        <v>80912</v>
      </c>
      <c r="E165" s="23">
        <f t="shared" si="50"/>
        <v>-0.03734921890448883</v>
      </c>
      <c r="F165" s="21">
        <f>+C165-39101</f>
        <v>38789</v>
      </c>
      <c r="G165" s="21">
        <f>+D165-41354</f>
        <v>39558</v>
      </c>
      <c r="H165" s="23">
        <f t="shared" si="51"/>
        <v>-0.01943980989938824</v>
      </c>
      <c r="I165" s="24">
        <f t="shared" si="52"/>
        <v>37.70299871613814</v>
      </c>
      <c r="J165" s="24">
        <f t="shared" si="53"/>
        <v>75.70926216195312</v>
      </c>
      <c r="K165" s="21">
        <v>2936686.57</v>
      </c>
      <c r="L165" s="21">
        <v>2750055.23</v>
      </c>
      <c r="M165" s="25">
        <f t="shared" si="54"/>
        <v>0.06786457885065815</v>
      </c>
      <c r="N165" s="10"/>
      <c r="R165" s="2"/>
    </row>
    <row r="166" spans="1:18" ht="15" customHeight="1">
      <c r="A166" s="19"/>
      <c r="B166" s="20">
        <f>DATE(2016,2,1)</f>
        <v>42401</v>
      </c>
      <c r="C166" s="21">
        <v>81127</v>
      </c>
      <c r="D166" s="21">
        <v>78042</v>
      </c>
      <c r="E166" s="23">
        <f t="shared" si="50"/>
        <v>0.03952999666846057</v>
      </c>
      <c r="F166" s="21">
        <f>+C166-41680</f>
        <v>39447</v>
      </c>
      <c r="G166" s="21">
        <f>+D166-40657</f>
        <v>37385</v>
      </c>
      <c r="H166" s="23">
        <f t="shared" si="51"/>
        <v>0.05515581115420623</v>
      </c>
      <c r="I166" s="24">
        <f t="shared" si="52"/>
        <v>38.66887904150283</v>
      </c>
      <c r="J166" s="24">
        <f t="shared" si="53"/>
        <v>79.5267105229802</v>
      </c>
      <c r="K166" s="21">
        <v>3137090.15</v>
      </c>
      <c r="L166" s="21">
        <v>2882140.51</v>
      </c>
      <c r="M166" s="25">
        <f t="shared" si="54"/>
        <v>0.08845843535921159</v>
      </c>
      <c r="N166" s="10"/>
      <c r="R166" s="2"/>
    </row>
    <row r="167" spans="1:18" ht="15" customHeight="1">
      <c r="A167" s="19"/>
      <c r="B167" s="20">
        <f>DATE(2016,3,1)</f>
        <v>42430</v>
      </c>
      <c r="C167" s="21">
        <v>84412</v>
      </c>
      <c r="D167" s="21">
        <v>92487</v>
      </c>
      <c r="E167" s="23">
        <f t="shared" si="50"/>
        <v>-0.08730956783115465</v>
      </c>
      <c r="F167" s="21">
        <f>+C167-43179</f>
        <v>41233</v>
      </c>
      <c r="G167" s="21">
        <f>+D167-47552</f>
        <v>44935</v>
      </c>
      <c r="H167" s="23">
        <f t="shared" si="51"/>
        <v>-0.08238566818738177</v>
      </c>
      <c r="I167" s="24">
        <f t="shared" si="52"/>
        <v>37.14336302895323</v>
      </c>
      <c r="J167" s="24">
        <f t="shared" si="53"/>
        <v>76.03971479155045</v>
      </c>
      <c r="K167" s="21">
        <v>3135345.56</v>
      </c>
      <c r="L167" s="21">
        <v>3401979.82</v>
      </c>
      <c r="M167" s="25">
        <f t="shared" si="54"/>
        <v>-0.07837620271363038</v>
      </c>
      <c r="N167" s="10"/>
      <c r="R167" s="2"/>
    </row>
    <row r="168" spans="1:18" ht="15" customHeight="1">
      <c r="A168" s="19"/>
      <c r="B168" s="20">
        <f>DATE(2016,4,1)</f>
        <v>42461</v>
      </c>
      <c r="C168" s="21">
        <v>76947</v>
      </c>
      <c r="D168" s="21">
        <v>83494</v>
      </c>
      <c r="E168" s="23">
        <f t="shared" si="50"/>
        <v>-0.07841282008288021</v>
      </c>
      <c r="F168" s="21">
        <f>+C168-39111</f>
        <v>37836</v>
      </c>
      <c r="G168" s="21">
        <f>+D168-42162</f>
        <v>41332</v>
      </c>
      <c r="H168" s="23">
        <f t="shared" si="51"/>
        <v>-0.08458337365721474</v>
      </c>
      <c r="I168" s="24">
        <f t="shared" si="52"/>
        <v>39.158323911263594</v>
      </c>
      <c r="J168" s="24">
        <f t="shared" si="53"/>
        <v>79.63620758008246</v>
      </c>
      <c r="K168" s="21">
        <v>3013115.55</v>
      </c>
      <c r="L168" s="21">
        <v>3109850.92</v>
      </c>
      <c r="M168" s="25">
        <f t="shared" si="54"/>
        <v>-0.03110611167174538</v>
      </c>
      <c r="N168" s="10"/>
      <c r="R168" s="2"/>
    </row>
    <row r="169" spans="1:18" ht="15" customHeight="1">
      <c r="A169" s="19"/>
      <c r="B169" s="20">
        <f>DATE(2016,5,1)</f>
        <v>42491</v>
      </c>
      <c r="C169" s="21">
        <v>74595</v>
      </c>
      <c r="D169" s="21">
        <v>92622</v>
      </c>
      <c r="E169" s="23">
        <f t="shared" si="50"/>
        <v>-0.19462978558009977</v>
      </c>
      <c r="F169" s="21">
        <f>+C169-37637</f>
        <v>36958</v>
      </c>
      <c r="G169" s="21">
        <f>+D169-45836</f>
        <v>46786</v>
      </c>
      <c r="H169" s="23">
        <f t="shared" si="51"/>
        <v>-0.21006283931090497</v>
      </c>
      <c r="I169" s="24">
        <f t="shared" si="52"/>
        <v>38.87505878410081</v>
      </c>
      <c r="J169" s="24">
        <f t="shared" si="53"/>
        <v>78.46433816764976</v>
      </c>
      <c r="K169" s="21">
        <v>2899885.01</v>
      </c>
      <c r="L169" s="21">
        <v>3313233.39</v>
      </c>
      <c r="M169" s="25">
        <f t="shared" si="54"/>
        <v>-0.12475679535512599</v>
      </c>
      <c r="N169" s="10"/>
      <c r="R169" s="2"/>
    </row>
    <row r="170" spans="1:18" ht="15" customHeight="1">
      <c r="A170" s="19"/>
      <c r="B170" s="20">
        <f>DATE(2016,6,1)</f>
        <v>42522</v>
      </c>
      <c r="C170" s="21">
        <v>68304</v>
      </c>
      <c r="D170" s="21">
        <v>81786</v>
      </c>
      <c r="E170" s="23">
        <f t="shared" si="50"/>
        <v>-0.16484483896999486</v>
      </c>
      <c r="F170" s="21">
        <f>+C170-33427</f>
        <v>34877</v>
      </c>
      <c r="G170" s="21">
        <f>+D170-39994</f>
        <v>41792</v>
      </c>
      <c r="H170" s="23">
        <f t="shared" si="51"/>
        <v>-0.16546228943338437</v>
      </c>
      <c r="I170" s="24">
        <f t="shared" si="52"/>
        <v>40.13335178027641</v>
      </c>
      <c r="J170" s="24">
        <f t="shared" si="53"/>
        <v>78.59817243455572</v>
      </c>
      <c r="K170" s="21">
        <v>2741268.46</v>
      </c>
      <c r="L170" s="21">
        <v>2872890.26</v>
      </c>
      <c r="M170" s="25">
        <f t="shared" si="54"/>
        <v>-0.045815115819982564</v>
      </c>
      <c r="N170" s="10"/>
      <c r="R170" s="2"/>
    </row>
    <row r="171" spans="1:18" ht="15" thickBot="1">
      <c r="A171" s="38"/>
      <c r="B171" s="20"/>
      <c r="C171" s="21"/>
      <c r="D171" s="21"/>
      <c r="E171" s="23"/>
      <c r="F171" s="21"/>
      <c r="G171" s="21"/>
      <c r="H171" s="23"/>
      <c r="I171" s="24"/>
      <c r="J171" s="24"/>
      <c r="K171" s="21"/>
      <c r="L171" s="21"/>
      <c r="M171" s="25"/>
      <c r="N171" s="10"/>
      <c r="R171" s="2"/>
    </row>
    <row r="172" spans="1:18" ht="16.5" thickBot="1" thickTop="1">
      <c r="A172" s="62" t="s">
        <v>14</v>
      </c>
      <c r="B172" s="52"/>
      <c r="C172" s="48">
        <f>SUM(C159:C171)</f>
        <v>949546</v>
      </c>
      <c r="D172" s="48">
        <f>SUM(D159:D171)</f>
        <v>1011815</v>
      </c>
      <c r="E172" s="280">
        <f>(+C172-D172)/D172</f>
        <v>-0.061541882656414464</v>
      </c>
      <c r="F172" s="48">
        <f>SUM(F159:F171)</f>
        <v>470096</v>
      </c>
      <c r="G172" s="48">
        <f>SUM(G159:G171)</f>
        <v>501679</v>
      </c>
      <c r="H172" s="42">
        <f>(+F172-G172)/G172</f>
        <v>-0.06295459845837677</v>
      </c>
      <c r="I172" s="50">
        <f>K172/C172</f>
        <v>37.99753509571943</v>
      </c>
      <c r="J172" s="50">
        <f>K172/F172</f>
        <v>76.75114755284028</v>
      </c>
      <c r="K172" s="48">
        <f>SUM(K159:K171)</f>
        <v>36080407.46</v>
      </c>
      <c r="L172" s="48">
        <f>SUM(L159:L171)</f>
        <v>36144561.39</v>
      </c>
      <c r="M172" s="44">
        <f>(+K172-L172)/L172</f>
        <v>-0.0017749262277048676</v>
      </c>
      <c r="N172" s="10"/>
      <c r="R172" s="2"/>
    </row>
    <row r="173" spans="1:18" ht="15.75" customHeight="1" thickTop="1">
      <c r="A173" s="19"/>
      <c r="B173" s="45"/>
      <c r="C173" s="21"/>
      <c r="D173" s="21"/>
      <c r="E173" s="23"/>
      <c r="F173" s="21"/>
      <c r="G173" s="21"/>
      <c r="H173" s="23"/>
      <c r="I173" s="24"/>
      <c r="J173" s="24"/>
      <c r="K173" s="21"/>
      <c r="L173" s="21"/>
      <c r="M173" s="25"/>
      <c r="N173" s="10"/>
      <c r="R173" s="2"/>
    </row>
    <row r="174" spans="1:18" ht="15">
      <c r="A174" s="19" t="s">
        <v>19</v>
      </c>
      <c r="B174" s="20">
        <f>DATE(2015,7,1)</f>
        <v>42186</v>
      </c>
      <c r="C174" s="21">
        <v>532259</v>
      </c>
      <c r="D174" s="21">
        <v>567277</v>
      </c>
      <c r="E174" s="23">
        <f aca="true" t="shared" si="55" ref="E174:E185">(+C174-D174)/D174</f>
        <v>-0.06172998376454536</v>
      </c>
      <c r="F174" s="21">
        <f>+C174-268912</f>
        <v>263347</v>
      </c>
      <c r="G174" s="21">
        <f>+D174-297396</f>
        <v>269881</v>
      </c>
      <c r="H174" s="23">
        <f aca="true" t="shared" si="56" ref="H174:H185">(+F174-G174)/G174</f>
        <v>-0.024210670628906816</v>
      </c>
      <c r="I174" s="24">
        <f aca="true" t="shared" si="57" ref="I174:I185">K174/C174</f>
        <v>42.84615583766549</v>
      </c>
      <c r="J174" s="24">
        <f aca="true" t="shared" si="58" ref="J174:J185">K174/F174</f>
        <v>86.59772870015607</v>
      </c>
      <c r="K174" s="21">
        <v>22805252.06</v>
      </c>
      <c r="L174" s="21">
        <v>22612560.24</v>
      </c>
      <c r="M174" s="25">
        <f aca="true" t="shared" si="59" ref="M174:M185">(+K174-L174)/L174</f>
        <v>0.008521450820024451</v>
      </c>
      <c r="N174" s="10"/>
      <c r="R174" s="2"/>
    </row>
    <row r="175" spans="1:18" ht="15">
      <c r="A175" s="19"/>
      <c r="B175" s="20">
        <f>DATE(2015,8,1)</f>
        <v>42217</v>
      </c>
      <c r="C175" s="21">
        <v>515175</v>
      </c>
      <c r="D175" s="21">
        <v>609221</v>
      </c>
      <c r="E175" s="23">
        <f t="shared" si="55"/>
        <v>-0.15437090973554754</v>
      </c>
      <c r="F175" s="21">
        <f>+C175-255335</f>
        <v>259840</v>
      </c>
      <c r="G175" s="21">
        <f>+D175-314633</f>
        <v>294588</v>
      </c>
      <c r="H175" s="23">
        <f t="shared" si="56"/>
        <v>-0.11795456705636347</v>
      </c>
      <c r="I175" s="24">
        <f t="shared" si="57"/>
        <v>42.48255223953026</v>
      </c>
      <c r="J175" s="24">
        <f t="shared" si="58"/>
        <v>84.2285593057266</v>
      </c>
      <c r="K175" s="21">
        <v>21885948.85</v>
      </c>
      <c r="L175" s="21">
        <v>23746820.02</v>
      </c>
      <c r="M175" s="25">
        <f t="shared" si="59"/>
        <v>-0.07836296263806013</v>
      </c>
      <c r="N175" s="10"/>
      <c r="R175" s="2"/>
    </row>
    <row r="176" spans="1:18" ht="15">
      <c r="A176" s="19"/>
      <c r="B176" s="20">
        <f>DATE(2015,9,1)</f>
        <v>42248</v>
      </c>
      <c r="C176" s="21">
        <v>478143</v>
      </c>
      <c r="D176" s="21">
        <v>511921</v>
      </c>
      <c r="E176" s="23">
        <f t="shared" si="55"/>
        <v>-0.06598283719558291</v>
      </c>
      <c r="F176" s="21">
        <f>+C176-238994</f>
        <v>239149</v>
      </c>
      <c r="G176" s="21">
        <f>+D176-263857</f>
        <v>248064</v>
      </c>
      <c r="H176" s="23">
        <f t="shared" si="56"/>
        <v>-0.03593830624355005</v>
      </c>
      <c r="I176" s="24">
        <f t="shared" si="57"/>
        <v>43.54798221452578</v>
      </c>
      <c r="J176" s="24">
        <f t="shared" si="58"/>
        <v>87.06773961003391</v>
      </c>
      <c r="K176" s="21">
        <v>20822162.86</v>
      </c>
      <c r="L176" s="21">
        <v>20182265.22</v>
      </c>
      <c r="M176" s="25">
        <f t="shared" si="59"/>
        <v>0.031705937516165524</v>
      </c>
      <c r="N176" s="10"/>
      <c r="R176" s="2"/>
    </row>
    <row r="177" spans="1:18" ht="15">
      <c r="A177" s="19"/>
      <c r="B177" s="20">
        <f>DATE(2015,10,1)</f>
        <v>42278</v>
      </c>
      <c r="C177" s="21">
        <v>503455</v>
      </c>
      <c r="D177" s="21">
        <v>541325</v>
      </c>
      <c r="E177" s="23">
        <f t="shared" si="55"/>
        <v>-0.06995797349097123</v>
      </c>
      <c r="F177" s="21">
        <f>+C177-254713</f>
        <v>248742</v>
      </c>
      <c r="G177" s="21">
        <f>+D177-282682</f>
        <v>258643</v>
      </c>
      <c r="H177" s="23">
        <f t="shared" si="56"/>
        <v>-0.0382805643299838</v>
      </c>
      <c r="I177" s="24">
        <f t="shared" si="57"/>
        <v>43.968705425509725</v>
      </c>
      <c r="J177" s="24">
        <f t="shared" si="58"/>
        <v>88.99287048427688</v>
      </c>
      <c r="K177" s="21">
        <v>22136264.59</v>
      </c>
      <c r="L177" s="21">
        <v>21263399.77</v>
      </c>
      <c r="M177" s="25">
        <f t="shared" si="59"/>
        <v>0.0410501062596539</v>
      </c>
      <c r="N177" s="10"/>
      <c r="R177" s="2"/>
    </row>
    <row r="178" spans="1:18" ht="15">
      <c r="A178" s="19"/>
      <c r="B178" s="20">
        <f>DATE(2015,11,1)</f>
        <v>42309</v>
      </c>
      <c r="C178" s="21">
        <v>499887</v>
      </c>
      <c r="D178" s="21">
        <v>521626</v>
      </c>
      <c r="E178" s="23">
        <f t="shared" si="55"/>
        <v>-0.04167545329412261</v>
      </c>
      <c r="F178" s="21">
        <f>+C178-256715</f>
        <v>243172</v>
      </c>
      <c r="G178" s="21">
        <f>+D178-265041</f>
        <v>256585</v>
      </c>
      <c r="H178" s="23">
        <f t="shared" si="56"/>
        <v>-0.052275074536703235</v>
      </c>
      <c r="I178" s="24">
        <f t="shared" si="57"/>
        <v>42.858070383906764</v>
      </c>
      <c r="J178" s="24">
        <f t="shared" si="58"/>
        <v>88.10303912457026</v>
      </c>
      <c r="K178" s="21">
        <v>21424192.23</v>
      </c>
      <c r="L178" s="21">
        <v>21348832.19</v>
      </c>
      <c r="M178" s="25">
        <f t="shared" si="59"/>
        <v>0.0035299373440809785</v>
      </c>
      <c r="N178" s="10"/>
      <c r="R178" s="2"/>
    </row>
    <row r="179" spans="1:18" ht="15">
      <c r="A179" s="19"/>
      <c r="B179" s="20">
        <f>DATE(2015,12,1)</f>
        <v>42339</v>
      </c>
      <c r="C179" s="21">
        <v>514509</v>
      </c>
      <c r="D179" s="21">
        <v>551022</v>
      </c>
      <c r="E179" s="23">
        <f t="shared" si="55"/>
        <v>-0.06626414190359006</v>
      </c>
      <c r="F179" s="21">
        <f>+C179-263391</f>
        <v>251118</v>
      </c>
      <c r="G179" s="21">
        <f>+D179-283602</f>
        <v>267420</v>
      </c>
      <c r="H179" s="23">
        <f t="shared" si="56"/>
        <v>-0.060960287188691946</v>
      </c>
      <c r="I179" s="24">
        <f t="shared" si="57"/>
        <v>42.03842078564223</v>
      </c>
      <c r="J179" s="24">
        <f t="shared" si="58"/>
        <v>86.13140372255275</v>
      </c>
      <c r="K179" s="21">
        <v>21629145.84</v>
      </c>
      <c r="L179" s="21">
        <v>22466044.69</v>
      </c>
      <c r="M179" s="25">
        <f t="shared" si="59"/>
        <v>-0.03725172194518596</v>
      </c>
      <c r="N179" s="10"/>
      <c r="R179" s="2"/>
    </row>
    <row r="180" spans="1:18" ht="15">
      <c r="A180" s="19"/>
      <c r="B180" s="20">
        <f>DATE(2016,1,1)</f>
        <v>42370</v>
      </c>
      <c r="C180" s="21">
        <v>503236</v>
      </c>
      <c r="D180" s="21">
        <v>546386</v>
      </c>
      <c r="E180" s="23">
        <f t="shared" si="55"/>
        <v>-0.0789734729659984</v>
      </c>
      <c r="F180" s="21">
        <f>+C180-259113</f>
        <v>244123</v>
      </c>
      <c r="G180" s="21">
        <f>+D180-283429</f>
        <v>262957</v>
      </c>
      <c r="H180" s="23">
        <f t="shared" si="56"/>
        <v>-0.07162387766821192</v>
      </c>
      <c r="I180" s="24">
        <f t="shared" si="57"/>
        <v>43.31984198268804</v>
      </c>
      <c r="J180" s="24">
        <f t="shared" si="58"/>
        <v>89.29967270597199</v>
      </c>
      <c r="K180" s="21">
        <v>21800104</v>
      </c>
      <c r="L180" s="21">
        <v>22125620.49</v>
      </c>
      <c r="M180" s="25">
        <f t="shared" si="59"/>
        <v>-0.014712197117686275</v>
      </c>
      <c r="N180" s="10"/>
      <c r="R180" s="2"/>
    </row>
    <row r="181" spans="1:18" ht="15">
      <c r="A181" s="19"/>
      <c r="B181" s="20">
        <f>DATE(2016,2,1)</f>
        <v>42401</v>
      </c>
      <c r="C181" s="21">
        <v>495716</v>
      </c>
      <c r="D181" s="21">
        <v>494675</v>
      </c>
      <c r="E181" s="23">
        <f t="shared" si="55"/>
        <v>0.0021044119876686713</v>
      </c>
      <c r="F181" s="21">
        <f>+C181-252696</f>
        <v>243020</v>
      </c>
      <c r="G181" s="21">
        <f>+D181-253754</f>
        <v>240921</v>
      </c>
      <c r="H181" s="23">
        <f t="shared" si="56"/>
        <v>0.00871239950025112</v>
      </c>
      <c r="I181" s="24">
        <f t="shared" si="57"/>
        <v>43.85616375101873</v>
      </c>
      <c r="J181" s="24">
        <f t="shared" si="58"/>
        <v>89.45848930129208</v>
      </c>
      <c r="K181" s="21">
        <v>21740202.07</v>
      </c>
      <c r="L181" s="21">
        <v>21264685.69</v>
      </c>
      <c r="M181" s="25">
        <f t="shared" si="59"/>
        <v>0.022361787375188753</v>
      </c>
      <c r="N181" s="10"/>
      <c r="R181" s="2"/>
    </row>
    <row r="182" spans="1:18" ht="15">
      <c r="A182" s="19"/>
      <c r="B182" s="20">
        <f>DATE(2016,3,1)</f>
        <v>42430</v>
      </c>
      <c r="C182" s="21">
        <v>510992</v>
      </c>
      <c r="D182" s="21">
        <v>581763</v>
      </c>
      <c r="E182" s="23">
        <f t="shared" si="55"/>
        <v>-0.12164919391573545</v>
      </c>
      <c r="F182" s="21">
        <f>+C182-258972</f>
        <v>252020</v>
      </c>
      <c r="G182" s="21">
        <f>+D182-298398</f>
        <v>283365</v>
      </c>
      <c r="H182" s="23">
        <f t="shared" si="56"/>
        <v>-0.11061704868279428</v>
      </c>
      <c r="I182" s="24">
        <f t="shared" si="57"/>
        <v>46.56172196433604</v>
      </c>
      <c r="J182" s="24">
        <f t="shared" si="58"/>
        <v>94.4078542575986</v>
      </c>
      <c r="K182" s="21">
        <v>23792667.43</v>
      </c>
      <c r="L182" s="21">
        <v>24225842.77</v>
      </c>
      <c r="M182" s="25">
        <f t="shared" si="59"/>
        <v>-0.01788071292761882</v>
      </c>
      <c r="N182" s="10"/>
      <c r="R182" s="2"/>
    </row>
    <row r="183" spans="1:18" ht="15">
      <c r="A183" s="19"/>
      <c r="B183" s="20">
        <f>DATE(2016,4,1)</f>
        <v>42461</v>
      </c>
      <c r="C183" s="21">
        <v>487335</v>
      </c>
      <c r="D183" s="21">
        <v>510922</v>
      </c>
      <c r="E183" s="23">
        <f t="shared" si="55"/>
        <v>-0.04616555951789118</v>
      </c>
      <c r="F183" s="21">
        <f>+C183-250258</f>
        <v>237077</v>
      </c>
      <c r="G183" s="21">
        <f>+D183-263943</f>
        <v>246979</v>
      </c>
      <c r="H183" s="23">
        <f t="shared" si="56"/>
        <v>-0.04009247749808688</v>
      </c>
      <c r="I183" s="24">
        <f t="shared" si="57"/>
        <v>46.02678600962378</v>
      </c>
      <c r="J183" s="24">
        <f t="shared" si="58"/>
        <v>94.61256789988063</v>
      </c>
      <c r="K183" s="21">
        <v>22430463.76</v>
      </c>
      <c r="L183" s="21">
        <v>22463040.22</v>
      </c>
      <c r="M183" s="25">
        <f t="shared" si="59"/>
        <v>-0.001450224888570189</v>
      </c>
      <c r="N183" s="10"/>
      <c r="R183" s="2"/>
    </row>
    <row r="184" spans="1:18" ht="15">
      <c r="A184" s="19"/>
      <c r="B184" s="20">
        <f>DATE(2016,5,1)</f>
        <v>42491</v>
      </c>
      <c r="C184" s="21">
        <v>491743</v>
      </c>
      <c r="D184" s="21">
        <v>544733</v>
      </c>
      <c r="E184" s="23">
        <f t="shared" si="55"/>
        <v>-0.09727701461082769</v>
      </c>
      <c r="F184" s="21">
        <f>+C184-249461</f>
        <v>242282</v>
      </c>
      <c r="G184" s="21">
        <f>+D184-274755</f>
        <v>269978</v>
      </c>
      <c r="H184" s="23">
        <f t="shared" si="56"/>
        <v>-0.10258613664817133</v>
      </c>
      <c r="I184" s="24">
        <f t="shared" si="57"/>
        <v>43.81977370293019</v>
      </c>
      <c r="J184" s="24">
        <f t="shared" si="58"/>
        <v>88.93796064090606</v>
      </c>
      <c r="K184" s="21">
        <v>21548066.98</v>
      </c>
      <c r="L184" s="21">
        <v>23461650.72</v>
      </c>
      <c r="M184" s="25">
        <f t="shared" si="59"/>
        <v>-0.0815621953816214</v>
      </c>
      <c r="N184" s="10"/>
      <c r="R184" s="2"/>
    </row>
    <row r="185" spans="1:18" ht="15">
      <c r="A185" s="19"/>
      <c r="B185" s="20">
        <f>DATE(2016,6,1)</f>
        <v>42522</v>
      </c>
      <c r="C185" s="21">
        <v>455247</v>
      </c>
      <c r="D185" s="21">
        <v>490871</v>
      </c>
      <c r="E185" s="23">
        <f t="shared" si="55"/>
        <v>-0.07257303853761986</v>
      </c>
      <c r="F185" s="21">
        <f>+C185-226291</f>
        <v>228956</v>
      </c>
      <c r="G185" s="21">
        <f>+D185-248567</f>
        <v>242304</v>
      </c>
      <c r="H185" s="23">
        <f t="shared" si="56"/>
        <v>-0.055087823560486</v>
      </c>
      <c r="I185" s="24">
        <f t="shared" si="57"/>
        <v>44.407335600234596</v>
      </c>
      <c r="J185" s="24">
        <f t="shared" si="58"/>
        <v>88.29777909292615</v>
      </c>
      <c r="K185" s="21">
        <v>20216306.31</v>
      </c>
      <c r="L185" s="21">
        <v>20831299.77</v>
      </c>
      <c r="M185" s="25">
        <f t="shared" si="59"/>
        <v>-0.029522567808547305</v>
      </c>
      <c r="N185" s="10"/>
      <c r="R185" s="2"/>
    </row>
    <row r="186" spans="1:18" ht="15" thickBot="1">
      <c r="A186" s="38"/>
      <c r="B186" s="45"/>
      <c r="C186" s="21"/>
      <c r="D186" s="21"/>
      <c r="E186" s="23"/>
      <c r="F186" s="21"/>
      <c r="G186" s="21"/>
      <c r="H186" s="23"/>
      <c r="I186" s="24"/>
      <c r="J186" s="24"/>
      <c r="K186" s="21"/>
      <c r="L186" s="21"/>
      <c r="M186" s="25"/>
      <c r="N186" s="10"/>
      <c r="R186" s="2"/>
    </row>
    <row r="187" spans="1:18" ht="16.5" thickBot="1" thickTop="1">
      <c r="A187" s="39" t="s">
        <v>14</v>
      </c>
      <c r="B187" s="40"/>
      <c r="C187" s="41">
        <f>SUM(C174:C186)</f>
        <v>5987697</v>
      </c>
      <c r="D187" s="41">
        <f>SUM(D174:D186)</f>
        <v>6471742</v>
      </c>
      <c r="E187" s="280">
        <f>(+C187-D187)/D187</f>
        <v>-0.07479361816339403</v>
      </c>
      <c r="F187" s="41">
        <f>SUM(F174:F186)</f>
        <v>2952846</v>
      </c>
      <c r="G187" s="41">
        <f>SUM(G174:G186)</f>
        <v>3141685</v>
      </c>
      <c r="H187" s="42">
        <f>(+F187-G187)/G187</f>
        <v>-0.06010755374902321</v>
      </c>
      <c r="I187" s="43">
        <f>K187/C187</f>
        <v>43.794931002687676</v>
      </c>
      <c r="J187" s="43">
        <f>K187/F187</f>
        <v>88.80611348509201</v>
      </c>
      <c r="K187" s="41">
        <f>SUM(K174:K186)</f>
        <v>262230776.98</v>
      </c>
      <c r="L187" s="41">
        <f>SUM(L174:L186)</f>
        <v>265992061.79000002</v>
      </c>
      <c r="M187" s="44">
        <f>(+K187-L187)/L187</f>
        <v>-0.014140590454799196</v>
      </c>
      <c r="N187" s="10"/>
      <c r="R187" s="2"/>
    </row>
    <row r="188" spans="1:18" ht="15.75" customHeight="1" thickTop="1">
      <c r="A188" s="19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5">
      <c r="A189" s="19" t="s">
        <v>63</v>
      </c>
      <c r="B189" s="20">
        <f>DATE(2015,7,1)</f>
        <v>42186</v>
      </c>
      <c r="C189" s="21">
        <v>100949</v>
      </c>
      <c r="D189" s="21">
        <v>102496</v>
      </c>
      <c r="E189" s="23">
        <f aca="true" t="shared" si="60" ref="E189:E200">(+C189-D189)/D189</f>
        <v>-0.015093271932563221</v>
      </c>
      <c r="F189" s="21">
        <f>+C189-48677</f>
        <v>52272</v>
      </c>
      <c r="G189" s="21">
        <f>+D189-50077</f>
        <v>52419</v>
      </c>
      <c r="H189" s="23">
        <f aca="true" t="shared" si="61" ref="H189:H200">(+F189-G189)/G189</f>
        <v>-0.002804326675442111</v>
      </c>
      <c r="I189" s="24">
        <f aca="true" t="shared" si="62" ref="I189:I200">K189/C189</f>
        <v>33.72731190997435</v>
      </c>
      <c r="J189" s="24">
        <f aca="true" t="shared" si="63" ref="J189:J200">K189/F189</f>
        <v>65.13503233088461</v>
      </c>
      <c r="K189" s="21">
        <v>3404738.41</v>
      </c>
      <c r="L189" s="21">
        <v>3340421.34</v>
      </c>
      <c r="M189" s="25">
        <f aca="true" t="shared" si="64" ref="M189:M200">(+K189-L189)/L189</f>
        <v>0.019254178875530804</v>
      </c>
      <c r="N189" s="10"/>
      <c r="R189" s="2"/>
    </row>
    <row r="190" spans="1:18" ht="15">
      <c r="A190" s="19"/>
      <c r="B190" s="20">
        <f>DATE(2015,8,1)</f>
        <v>42217</v>
      </c>
      <c r="C190" s="21">
        <v>99494</v>
      </c>
      <c r="D190" s="21">
        <v>103432</v>
      </c>
      <c r="E190" s="23">
        <f t="shared" si="60"/>
        <v>-0.03807332353623637</v>
      </c>
      <c r="F190" s="21">
        <f>+C190-48236</f>
        <v>51258</v>
      </c>
      <c r="G190" s="21">
        <f>+D190-51483</f>
        <v>51949</v>
      </c>
      <c r="H190" s="23">
        <f t="shared" si="61"/>
        <v>-0.013301507247492734</v>
      </c>
      <c r="I190" s="24">
        <f t="shared" si="62"/>
        <v>33.06739793354373</v>
      </c>
      <c r="J190" s="24">
        <f t="shared" si="63"/>
        <v>64.18525283858129</v>
      </c>
      <c r="K190" s="21">
        <v>3290007.69</v>
      </c>
      <c r="L190" s="21">
        <v>3445802.46</v>
      </c>
      <c r="M190" s="25">
        <f t="shared" si="64"/>
        <v>-0.04521291391729984</v>
      </c>
      <c r="N190" s="10"/>
      <c r="R190" s="2"/>
    </row>
    <row r="191" spans="1:18" ht="15">
      <c r="A191" s="19"/>
      <c r="B191" s="20">
        <f>DATE(2015,9,1)</f>
        <v>42248</v>
      </c>
      <c r="C191" s="21">
        <v>92695</v>
      </c>
      <c r="D191" s="21">
        <v>97371</v>
      </c>
      <c r="E191" s="23">
        <f t="shared" si="60"/>
        <v>-0.04802251183617299</v>
      </c>
      <c r="F191" s="21">
        <f>+C191-44854</f>
        <v>47841</v>
      </c>
      <c r="G191" s="21">
        <f>+D191-46879</f>
        <v>50492</v>
      </c>
      <c r="H191" s="23">
        <f t="shared" si="61"/>
        <v>-0.05250336686999921</v>
      </c>
      <c r="I191" s="24">
        <f t="shared" si="62"/>
        <v>33.739623712174335</v>
      </c>
      <c r="J191" s="24">
        <f t="shared" si="63"/>
        <v>65.37268075500094</v>
      </c>
      <c r="K191" s="21">
        <v>3127494.42</v>
      </c>
      <c r="L191" s="21">
        <v>3077829.88</v>
      </c>
      <c r="M191" s="25">
        <f t="shared" si="64"/>
        <v>0.016136219978473938</v>
      </c>
      <c r="N191" s="10"/>
      <c r="R191" s="2"/>
    </row>
    <row r="192" spans="1:18" ht="15">
      <c r="A192" s="19"/>
      <c r="B192" s="20">
        <f>DATE(2015,10,1)</f>
        <v>42278</v>
      </c>
      <c r="C192" s="21">
        <v>96289</v>
      </c>
      <c r="D192" s="21">
        <v>97775</v>
      </c>
      <c r="E192" s="23">
        <f t="shared" si="60"/>
        <v>-0.015198159038609051</v>
      </c>
      <c r="F192" s="21">
        <f>+C192-46411</f>
        <v>49878</v>
      </c>
      <c r="G192" s="21">
        <f>+D192-48511</f>
        <v>49264</v>
      </c>
      <c r="H192" s="23">
        <f t="shared" si="61"/>
        <v>0.012463462163039948</v>
      </c>
      <c r="I192" s="24">
        <f t="shared" si="62"/>
        <v>33.37150733728671</v>
      </c>
      <c r="J192" s="24">
        <f t="shared" si="63"/>
        <v>64.42337443361802</v>
      </c>
      <c r="K192" s="21">
        <v>3213309.07</v>
      </c>
      <c r="L192" s="21">
        <v>3107472.28</v>
      </c>
      <c r="M192" s="25">
        <f t="shared" si="64"/>
        <v>0.03405880421884248</v>
      </c>
      <c r="N192" s="10"/>
      <c r="R192" s="2"/>
    </row>
    <row r="193" spans="1:18" ht="15">
      <c r="A193" s="19"/>
      <c r="B193" s="20">
        <f>DATE(2015,11,1)</f>
        <v>42309</v>
      </c>
      <c r="C193" s="21">
        <v>91334</v>
      </c>
      <c r="D193" s="21">
        <v>92234</v>
      </c>
      <c r="E193" s="23">
        <f t="shared" si="60"/>
        <v>-0.009757789968991912</v>
      </c>
      <c r="F193" s="21">
        <f>+C193-44474</f>
        <v>46860</v>
      </c>
      <c r="G193" s="21">
        <f>+D193-46503</f>
        <v>45731</v>
      </c>
      <c r="H193" s="23">
        <f t="shared" si="61"/>
        <v>0.024687848505390218</v>
      </c>
      <c r="I193" s="24">
        <f t="shared" si="62"/>
        <v>32.33058061619988</v>
      </c>
      <c r="J193" s="24">
        <f t="shared" si="63"/>
        <v>63.01496478873239</v>
      </c>
      <c r="K193" s="21">
        <v>2952881.25</v>
      </c>
      <c r="L193" s="21">
        <v>3022165.19</v>
      </c>
      <c r="M193" s="25">
        <f t="shared" si="64"/>
        <v>-0.02292526570991308</v>
      </c>
      <c r="N193" s="10"/>
      <c r="R193" s="2"/>
    </row>
    <row r="194" spans="1:18" ht="15">
      <c r="A194" s="19"/>
      <c r="B194" s="20">
        <f>DATE(2015,12,1)</f>
        <v>42339</v>
      </c>
      <c r="C194" s="21">
        <v>100697</v>
      </c>
      <c r="D194" s="21">
        <v>105150</v>
      </c>
      <c r="E194" s="23">
        <f t="shared" si="60"/>
        <v>-0.04234902520209225</v>
      </c>
      <c r="F194" s="21">
        <f>+C194-50096</f>
        <v>50601</v>
      </c>
      <c r="G194" s="21">
        <f>+D194-52693</f>
        <v>52457</v>
      </c>
      <c r="H194" s="23">
        <f t="shared" si="61"/>
        <v>-0.03538135997102389</v>
      </c>
      <c r="I194" s="24">
        <f t="shared" si="62"/>
        <v>32.45243214792894</v>
      </c>
      <c r="J194" s="24">
        <f t="shared" si="63"/>
        <v>64.58098772751526</v>
      </c>
      <c r="K194" s="21">
        <v>3267862.56</v>
      </c>
      <c r="L194" s="21">
        <v>3064296.08</v>
      </c>
      <c r="M194" s="25">
        <f t="shared" si="64"/>
        <v>0.06643172679318898</v>
      </c>
      <c r="N194" s="10"/>
      <c r="R194" s="2"/>
    </row>
    <row r="195" spans="1:18" ht="15">
      <c r="A195" s="19"/>
      <c r="B195" s="20">
        <f>DATE(2016,1,1)</f>
        <v>42370</v>
      </c>
      <c r="C195" s="21">
        <v>91689</v>
      </c>
      <c r="D195" s="21">
        <v>101607</v>
      </c>
      <c r="E195" s="23">
        <f t="shared" si="60"/>
        <v>-0.09761138504236913</v>
      </c>
      <c r="F195" s="21">
        <f>+C195-44968</f>
        <v>46721</v>
      </c>
      <c r="G195" s="21">
        <f>+D195-51822</f>
        <v>49785</v>
      </c>
      <c r="H195" s="23">
        <f t="shared" si="61"/>
        <v>-0.06154464196042985</v>
      </c>
      <c r="I195" s="24">
        <f t="shared" si="62"/>
        <v>35.255773538810544</v>
      </c>
      <c r="J195" s="24">
        <f t="shared" si="63"/>
        <v>69.18872926521264</v>
      </c>
      <c r="K195" s="21">
        <v>3232566.62</v>
      </c>
      <c r="L195" s="21">
        <v>3345220.66</v>
      </c>
      <c r="M195" s="25">
        <f t="shared" si="64"/>
        <v>-0.0336761163013982</v>
      </c>
      <c r="N195" s="10"/>
      <c r="R195" s="2"/>
    </row>
    <row r="196" spans="1:18" ht="15">
      <c r="A196" s="19"/>
      <c r="B196" s="20">
        <f>DATE(2016,2,1)</f>
        <v>42401</v>
      </c>
      <c r="C196" s="21">
        <v>101449</v>
      </c>
      <c r="D196" s="21">
        <v>101958</v>
      </c>
      <c r="E196" s="23">
        <f t="shared" si="60"/>
        <v>-0.004992251711489044</v>
      </c>
      <c r="F196" s="21">
        <f>+C196-50262</f>
        <v>51187</v>
      </c>
      <c r="G196" s="21">
        <f>+D196-52434</f>
        <v>49524</v>
      </c>
      <c r="H196" s="23">
        <f t="shared" si="61"/>
        <v>0.03357967853969793</v>
      </c>
      <c r="I196" s="24">
        <f t="shared" si="62"/>
        <v>35.188245522380704</v>
      </c>
      <c r="J196" s="24">
        <f t="shared" si="63"/>
        <v>69.74060445034871</v>
      </c>
      <c r="K196" s="21">
        <v>3569812.32</v>
      </c>
      <c r="L196" s="21">
        <v>3363204.94</v>
      </c>
      <c r="M196" s="25">
        <f t="shared" si="64"/>
        <v>0.061431694971285304</v>
      </c>
      <c r="N196" s="10"/>
      <c r="R196" s="2"/>
    </row>
    <row r="197" spans="1:18" ht="15">
      <c r="A197" s="19"/>
      <c r="B197" s="20">
        <f>DATE(2016,3,1)</f>
        <v>42430</v>
      </c>
      <c r="C197" s="21">
        <v>100169</v>
      </c>
      <c r="D197" s="21">
        <v>111239</v>
      </c>
      <c r="E197" s="23">
        <f t="shared" si="60"/>
        <v>-0.09951545770817789</v>
      </c>
      <c r="F197" s="21">
        <f>+C197-48728</f>
        <v>51441</v>
      </c>
      <c r="G197" s="21">
        <f>+D197-55982</f>
        <v>55257</v>
      </c>
      <c r="H197" s="23">
        <f t="shared" si="61"/>
        <v>-0.06905912373093001</v>
      </c>
      <c r="I197" s="24">
        <f t="shared" si="62"/>
        <v>36.59203895416746</v>
      </c>
      <c r="J197" s="24">
        <f t="shared" si="63"/>
        <v>71.25421259306779</v>
      </c>
      <c r="K197" s="21">
        <v>3665387.95</v>
      </c>
      <c r="L197" s="21">
        <v>3755434.66</v>
      </c>
      <c r="M197" s="25">
        <f t="shared" si="64"/>
        <v>-0.02397770648471353</v>
      </c>
      <c r="N197" s="10"/>
      <c r="R197" s="2"/>
    </row>
    <row r="198" spans="1:18" ht="15">
      <c r="A198" s="19"/>
      <c r="B198" s="20">
        <f>DATE(2016,4,1)</f>
        <v>42461</v>
      </c>
      <c r="C198" s="21">
        <v>97005</v>
      </c>
      <c r="D198" s="21">
        <v>102334</v>
      </c>
      <c r="E198" s="23">
        <f t="shared" si="60"/>
        <v>-0.052074579318701505</v>
      </c>
      <c r="F198" s="21">
        <f>+C198-46248</f>
        <v>50757</v>
      </c>
      <c r="G198" s="21">
        <f>+D198-50728</f>
        <v>51606</v>
      </c>
      <c r="H198" s="23">
        <f t="shared" si="61"/>
        <v>-0.01645157539820951</v>
      </c>
      <c r="I198" s="24">
        <f t="shared" si="62"/>
        <v>35.137074274521936</v>
      </c>
      <c r="J198" s="24">
        <f t="shared" si="63"/>
        <v>67.15274523711015</v>
      </c>
      <c r="K198" s="21">
        <v>3408471.89</v>
      </c>
      <c r="L198" s="21">
        <v>3612978.31</v>
      </c>
      <c r="M198" s="25">
        <f t="shared" si="64"/>
        <v>-0.056603279193226025</v>
      </c>
      <c r="N198" s="10"/>
      <c r="R198" s="2"/>
    </row>
    <row r="199" spans="1:18" ht="15">
      <c r="A199" s="19"/>
      <c r="B199" s="20">
        <f>DATE(2016,5,1)</f>
        <v>42491</v>
      </c>
      <c r="C199" s="21">
        <v>95875</v>
      </c>
      <c r="D199" s="21">
        <v>113621</v>
      </c>
      <c r="E199" s="23">
        <f t="shared" si="60"/>
        <v>-0.1561859163358886</v>
      </c>
      <c r="F199" s="21">
        <f>+C199-45637</f>
        <v>50238</v>
      </c>
      <c r="G199" s="21">
        <f>+D199-55456</f>
        <v>58165</v>
      </c>
      <c r="H199" s="23">
        <f t="shared" si="61"/>
        <v>-0.13628470729820338</v>
      </c>
      <c r="I199" s="24">
        <f t="shared" si="62"/>
        <v>34.230756505867014</v>
      </c>
      <c r="J199" s="24">
        <f t="shared" si="63"/>
        <v>65.32652135833432</v>
      </c>
      <c r="K199" s="21">
        <v>3281873.78</v>
      </c>
      <c r="L199" s="21">
        <v>3671129.7</v>
      </c>
      <c r="M199" s="25">
        <f t="shared" si="64"/>
        <v>-0.1060316447005401</v>
      </c>
      <c r="N199" s="10"/>
      <c r="R199" s="2"/>
    </row>
    <row r="200" spans="1:18" ht="15">
      <c r="A200" s="19"/>
      <c r="B200" s="20">
        <f>DATE(2016,6,1)</f>
        <v>42522</v>
      </c>
      <c r="C200" s="21">
        <v>87273</v>
      </c>
      <c r="D200" s="21">
        <v>100227</v>
      </c>
      <c r="E200" s="23">
        <f t="shared" si="60"/>
        <v>-0.12924661019485767</v>
      </c>
      <c r="F200" s="21">
        <f>+C200-41026</f>
        <v>46247</v>
      </c>
      <c r="G200" s="21">
        <f>+D200-47892</f>
        <v>52335</v>
      </c>
      <c r="H200" s="23">
        <f t="shared" si="61"/>
        <v>-0.11632750549345562</v>
      </c>
      <c r="I200" s="24">
        <f t="shared" si="62"/>
        <v>37.02750930986674</v>
      </c>
      <c r="J200" s="24">
        <f t="shared" si="63"/>
        <v>69.87484204380824</v>
      </c>
      <c r="K200" s="21">
        <v>3231501.82</v>
      </c>
      <c r="L200" s="21">
        <v>3211504.6</v>
      </c>
      <c r="M200" s="25">
        <f t="shared" si="64"/>
        <v>0.00622674493444591</v>
      </c>
      <c r="N200" s="10"/>
      <c r="R200" s="2"/>
    </row>
    <row r="201" spans="1:18" ht="15" thickBot="1">
      <c r="A201" s="38"/>
      <c r="B201" s="45"/>
      <c r="C201" s="21"/>
      <c r="D201" s="21"/>
      <c r="E201" s="23"/>
      <c r="F201" s="21"/>
      <c r="G201" s="21"/>
      <c r="H201" s="23"/>
      <c r="I201" s="24"/>
      <c r="J201" s="24"/>
      <c r="K201" s="21"/>
      <c r="L201" s="21"/>
      <c r="M201" s="25"/>
      <c r="N201" s="10"/>
      <c r="R201" s="2"/>
    </row>
    <row r="202" spans="1:18" ht="16.5" thickBot="1" thickTop="1">
      <c r="A202" s="26" t="s">
        <v>14</v>
      </c>
      <c r="B202" s="27"/>
      <c r="C202" s="28">
        <f>SUM(C189:C201)</f>
        <v>1154918</v>
      </c>
      <c r="D202" s="28">
        <f>SUM(D189:D201)</f>
        <v>1229444</v>
      </c>
      <c r="E202" s="280">
        <f>(+C202-D202)/D202</f>
        <v>-0.06061764504930684</v>
      </c>
      <c r="F202" s="28">
        <f>SUM(F189:F201)</f>
        <v>595301</v>
      </c>
      <c r="G202" s="28">
        <f>SUM(G189:G201)</f>
        <v>618984</v>
      </c>
      <c r="H202" s="42">
        <f>(+F202-G202)/G202</f>
        <v>-0.03826108590852106</v>
      </c>
      <c r="I202" s="43">
        <f>K202/C202</f>
        <v>34.32789841356703</v>
      </c>
      <c r="J202" s="43">
        <f>K202/F202</f>
        <v>66.59808698456747</v>
      </c>
      <c r="K202" s="28">
        <f>SUM(K189:K201)</f>
        <v>39645907.78</v>
      </c>
      <c r="L202" s="28">
        <f>SUM(L189:L201)</f>
        <v>40017460.1</v>
      </c>
      <c r="M202" s="44">
        <f>(+K202-L202)/L202</f>
        <v>-0.009284755181151547</v>
      </c>
      <c r="N202" s="10"/>
      <c r="R202" s="2"/>
    </row>
    <row r="203" spans="1:18" ht="15.75" thickBot="1" thickTop="1">
      <c r="A203" s="63"/>
      <c r="B203" s="34"/>
      <c r="C203" s="35"/>
      <c r="D203" s="35"/>
      <c r="E203" s="29"/>
      <c r="F203" s="35"/>
      <c r="G203" s="35"/>
      <c r="H203" s="29"/>
      <c r="I203" s="36"/>
      <c r="J203" s="36"/>
      <c r="K203" s="35"/>
      <c r="L203" s="35"/>
      <c r="M203" s="37"/>
      <c r="N203" s="10"/>
      <c r="R203" s="2"/>
    </row>
    <row r="204" spans="1:18" ht="16.5" thickBot="1" thickTop="1">
      <c r="A204" s="64" t="s">
        <v>20</v>
      </c>
      <c r="B204" s="65"/>
      <c r="C204" s="28">
        <f>C202+C187+C82+C112+C127+C52+C22+C142+C157+C67+C172+C37+C97</f>
        <v>42510171</v>
      </c>
      <c r="D204" s="28">
        <f>D202+D187+D82+D112+D127+D52+D22+D142+D157+D67+D172+D37+D97</f>
        <v>43830759</v>
      </c>
      <c r="E204" s="279">
        <f>(+C204-D204)/D204</f>
        <v>-0.030129252381871828</v>
      </c>
      <c r="F204" s="28">
        <f>F202+F187+F82+F112+F127+F52+F22+F142+F157+F67+F172+F37+F97</f>
        <v>21355437</v>
      </c>
      <c r="G204" s="28">
        <f>G202+G187+G82+G112+G127+G52+G22+G142+G157+G67+G172+G37+G97</f>
        <v>21869316</v>
      </c>
      <c r="H204" s="30">
        <f>(+F204-G204)/G204</f>
        <v>-0.023497717075376293</v>
      </c>
      <c r="I204" s="31">
        <f>K204/C204</f>
        <v>40.29936307995562</v>
      </c>
      <c r="J204" s="31">
        <f>K204/F204</f>
        <v>80.21998405932878</v>
      </c>
      <c r="K204" s="28">
        <f>K202+K187+K82+K112+K127+K52+K22+K142+K157+K67+K172+K37+K97</f>
        <v>1713132815.72</v>
      </c>
      <c r="L204" s="28">
        <f>L202+L187+L82+L112+L127+L52+L22+L142+L157+L67+L172+L37+L97</f>
        <v>1681962958.69</v>
      </c>
      <c r="M204" s="32">
        <f>(+K204-L204)/L204</f>
        <v>0.018531833218418003</v>
      </c>
      <c r="N204" s="10"/>
      <c r="R204" s="2"/>
    </row>
    <row r="205" spans="1:18" ht="16.5" thickBot="1" thickTop="1">
      <c r="A205" s="64"/>
      <c r="B205" s="65"/>
      <c r="C205" s="28"/>
      <c r="D205" s="28"/>
      <c r="E205" s="29"/>
      <c r="F205" s="28"/>
      <c r="G205" s="28"/>
      <c r="H205" s="30"/>
      <c r="I205" s="31"/>
      <c r="J205" s="31"/>
      <c r="K205" s="28"/>
      <c r="L205" s="28"/>
      <c r="M205" s="32"/>
      <c r="N205" s="10"/>
      <c r="R205" s="2"/>
    </row>
    <row r="206" spans="1:18" ht="16.5" thickBot="1" thickTop="1">
      <c r="A206" s="64" t="s">
        <v>21</v>
      </c>
      <c r="B206" s="65"/>
      <c r="C206" s="28">
        <f>+C20+C35+C50+C65+C80+C95+C110+C125+C140+C155+C170+C185+C200</f>
        <v>3257759</v>
      </c>
      <c r="D206" s="28">
        <f>+D20+D35+D50+D65+D80+D95+D110+D125+D140+D155+D170+D185+D200</f>
        <v>3463575</v>
      </c>
      <c r="E206" s="279">
        <f>(+C206-D206)/D206</f>
        <v>-0.05942299502681478</v>
      </c>
      <c r="F206" s="28">
        <f>+F20+F35+F50+F65+F80+F95+F110+F125+F140+F155+F170+F185+F200</f>
        <v>1669873</v>
      </c>
      <c r="G206" s="28">
        <f>+G20+G35+G50+G65+G80+G95+G110+G125+G140+G155+G170+G185+G200</f>
        <v>1738986</v>
      </c>
      <c r="H206" s="30">
        <f>(+F206-G206)/G206</f>
        <v>-0.03974327567904515</v>
      </c>
      <c r="I206" s="31">
        <f>K206/C206</f>
        <v>41.09273811844277</v>
      </c>
      <c r="J206" s="31">
        <f>K206/F206</f>
        <v>80.16791542829903</v>
      </c>
      <c r="K206" s="28">
        <f>+K20+K35+K50+K65+K80+K95+K110+K125+K140+K155+K170+K185+K200</f>
        <v>133870237.43999998</v>
      </c>
      <c r="L206" s="28">
        <f>+L20+L35+L50+L65+L80+L95+L110+L125+L140+L155+L170+L185+L200</f>
        <v>133584786.64999999</v>
      </c>
      <c r="M206" s="44">
        <f>(+K206-L206)/L206</f>
        <v>0.0021368510378946782</v>
      </c>
      <c r="N206" s="10"/>
      <c r="R206" s="2"/>
    </row>
    <row r="207" spans="1:18" ht="15" thickTop="1">
      <c r="A207" s="66"/>
      <c r="B207" s="67"/>
      <c r="C207" s="68"/>
      <c r="D207" s="67"/>
      <c r="E207" s="67"/>
      <c r="F207" s="67"/>
      <c r="G207" s="67"/>
      <c r="H207" s="67"/>
      <c r="I207" s="67"/>
      <c r="J207" s="67"/>
      <c r="K207" s="68"/>
      <c r="L207" s="68"/>
      <c r="M207" s="67"/>
      <c r="R207" s="2"/>
    </row>
    <row r="208" spans="1:18" ht="17.25">
      <c r="A208" s="264" t="s">
        <v>22</v>
      </c>
      <c r="B208" s="70"/>
      <c r="C208" s="71"/>
      <c r="D208" s="71"/>
      <c r="E208" s="71"/>
      <c r="F208" s="71"/>
      <c r="G208" s="71"/>
      <c r="H208" s="71"/>
      <c r="I208" s="71"/>
      <c r="J208" s="71"/>
      <c r="K208" s="198"/>
      <c r="L208" s="198"/>
      <c r="M208" s="71"/>
      <c r="N208" s="2"/>
      <c r="O208" s="2"/>
      <c r="P208" s="2"/>
      <c r="Q208" s="2"/>
      <c r="R208" s="2"/>
    </row>
    <row r="209" spans="1:18" ht="17.25">
      <c r="A209" s="69"/>
      <c r="B209" s="70"/>
      <c r="C209" s="71"/>
      <c r="D209" s="71"/>
      <c r="E209" s="71"/>
      <c r="F209" s="71"/>
      <c r="G209" s="71"/>
      <c r="H209" s="71"/>
      <c r="I209" s="71"/>
      <c r="J209" s="71"/>
      <c r="K209" s="198"/>
      <c r="L209" s="198"/>
      <c r="M209" s="71"/>
      <c r="N209" s="2"/>
      <c r="O209" s="2"/>
      <c r="P209" s="2"/>
      <c r="Q209" s="2"/>
      <c r="R209" s="2"/>
    </row>
    <row r="210" spans="1:18" ht="15">
      <c r="A210" s="72"/>
      <c r="B210" s="73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73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73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3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73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73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73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4"/>
      <c r="N219" s="2"/>
      <c r="O219" s="2"/>
      <c r="P219" s="2"/>
      <c r="Q219" s="2"/>
      <c r="R219" s="2"/>
    </row>
    <row r="220" spans="1:18" ht="15">
      <c r="A220" s="2"/>
      <c r="B220" s="73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4"/>
      <c r="N220" s="2"/>
      <c r="O220" s="2"/>
      <c r="P220" s="2"/>
      <c r="Q220" s="2"/>
      <c r="R220" s="2"/>
    </row>
    <row r="221" spans="1:18" ht="15">
      <c r="A221" s="2"/>
      <c r="B221" s="70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4"/>
      <c r="N221" s="2"/>
      <c r="O221" s="2"/>
      <c r="P221" s="2"/>
      <c r="Q221" s="2"/>
      <c r="R221" s="2"/>
    </row>
    <row r="222" spans="1:18" ht="15">
      <c r="A222" s="76"/>
      <c r="B222" s="70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76"/>
      <c r="B223" s="70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76"/>
      <c r="B224" s="70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70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76"/>
      <c r="B226" s="73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73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73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77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77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76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76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76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76"/>
      <c r="B244" s="77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77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77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77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77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77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77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77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77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76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76"/>
      <c r="B260" s="77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77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77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76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76"/>
      <c r="B269" s="76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74"/>
      <c r="D340" s="74"/>
      <c r="E340" s="74"/>
      <c r="F340" s="74"/>
      <c r="G340" s="74"/>
      <c r="H340" s="74"/>
      <c r="I340" s="74"/>
      <c r="J340" s="74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74"/>
      <c r="D341" s="74"/>
      <c r="E341" s="74"/>
      <c r="F341" s="74"/>
      <c r="G341" s="74"/>
      <c r="H341" s="74"/>
      <c r="I341" s="74"/>
      <c r="J341" s="74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74"/>
      <c r="D342" s="74"/>
      <c r="E342" s="74"/>
      <c r="F342" s="74"/>
      <c r="G342" s="74"/>
      <c r="H342" s="74"/>
      <c r="I342" s="74"/>
      <c r="J342" s="74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74"/>
      <c r="D343" s="74"/>
      <c r="E343" s="74"/>
      <c r="F343" s="74"/>
      <c r="G343" s="74"/>
      <c r="H343" s="74"/>
      <c r="I343" s="74"/>
      <c r="J343" s="74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74"/>
      <c r="D344" s="74"/>
      <c r="E344" s="74"/>
      <c r="F344" s="74"/>
      <c r="G344" s="74"/>
      <c r="H344" s="74"/>
      <c r="I344" s="74"/>
      <c r="J344" s="74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74"/>
      <c r="D345" s="74"/>
      <c r="E345" s="74"/>
      <c r="F345" s="74"/>
      <c r="G345" s="74"/>
      <c r="H345" s="74"/>
      <c r="I345" s="74"/>
      <c r="J345" s="74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74"/>
      <c r="D346" s="74"/>
      <c r="E346" s="74"/>
      <c r="F346" s="74"/>
      <c r="G346" s="74"/>
      <c r="H346" s="74"/>
      <c r="I346" s="74"/>
      <c r="J346" s="74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74"/>
      <c r="D347" s="74"/>
      <c r="E347" s="74"/>
      <c r="F347" s="74"/>
      <c r="G347" s="74"/>
      <c r="H347" s="74"/>
      <c r="I347" s="74"/>
      <c r="J347" s="74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74"/>
      <c r="D348" s="74"/>
      <c r="E348" s="74"/>
      <c r="F348" s="74"/>
      <c r="G348" s="74"/>
      <c r="H348" s="74"/>
      <c r="I348" s="74"/>
      <c r="J348" s="74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74"/>
      <c r="D349" s="74"/>
      <c r="E349" s="74"/>
      <c r="F349" s="74"/>
      <c r="G349" s="74"/>
      <c r="H349" s="74"/>
      <c r="I349" s="74"/>
      <c r="J349" s="74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74"/>
      <c r="D350" s="74"/>
      <c r="E350" s="74"/>
      <c r="F350" s="74"/>
      <c r="G350" s="74"/>
      <c r="H350" s="74"/>
      <c r="I350" s="74"/>
      <c r="J350" s="74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74"/>
      <c r="D351" s="74"/>
      <c r="E351" s="74"/>
      <c r="F351" s="74"/>
      <c r="G351" s="74"/>
      <c r="H351" s="74"/>
      <c r="I351" s="74"/>
      <c r="J351" s="74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74"/>
      <c r="D352" s="74"/>
      <c r="E352" s="74"/>
      <c r="F352" s="74"/>
      <c r="G352" s="74"/>
      <c r="H352" s="74"/>
      <c r="I352" s="74"/>
      <c r="J352" s="74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  <row r="466" spans="1:18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92"/>
      <c r="L466" s="192"/>
      <c r="M466" s="75"/>
      <c r="N466" s="2"/>
      <c r="O466" s="2"/>
      <c r="P466" s="2"/>
      <c r="Q466" s="2"/>
      <c r="R466" s="2"/>
    </row>
    <row r="467" spans="1:18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92"/>
      <c r="L467" s="192"/>
      <c r="M467" s="75"/>
      <c r="N467" s="2"/>
      <c r="O467" s="2"/>
      <c r="P467" s="2"/>
      <c r="Q467" s="2"/>
      <c r="R467" s="2"/>
    </row>
    <row r="468" spans="1:18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92"/>
      <c r="L468" s="192"/>
      <c r="M468" s="75"/>
      <c r="N468" s="2"/>
      <c r="O468" s="2"/>
      <c r="P468" s="2"/>
      <c r="Q468" s="2"/>
      <c r="R468" s="2"/>
    </row>
    <row r="469" spans="1:18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92"/>
      <c r="L469" s="192"/>
      <c r="M469" s="75"/>
      <c r="N469" s="2"/>
      <c r="O469" s="2"/>
      <c r="P469" s="2"/>
      <c r="Q469" s="2"/>
      <c r="R469" s="2"/>
    </row>
    <row r="470" spans="1:18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92"/>
      <c r="L470" s="192"/>
      <c r="M470" s="75"/>
      <c r="N470" s="2"/>
      <c r="O470" s="2"/>
      <c r="P470" s="2"/>
      <c r="Q470" s="2"/>
      <c r="R470" s="2"/>
    </row>
    <row r="471" spans="1:18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92"/>
      <c r="L471" s="192"/>
      <c r="M471" s="75"/>
      <c r="N471" s="2"/>
      <c r="O471" s="2"/>
      <c r="P471" s="2"/>
      <c r="Q471" s="2"/>
      <c r="R471" s="2"/>
    </row>
    <row r="472" spans="1:18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92"/>
      <c r="L472" s="192"/>
      <c r="M472" s="75"/>
      <c r="N472" s="2"/>
      <c r="O472" s="2"/>
      <c r="P472" s="2"/>
      <c r="Q472" s="2"/>
      <c r="R472" s="2"/>
    </row>
    <row r="473" spans="1:18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92"/>
      <c r="L473" s="192"/>
      <c r="M473" s="75"/>
      <c r="N473" s="2"/>
      <c r="O473" s="2"/>
      <c r="P473" s="2"/>
      <c r="Q473" s="2"/>
      <c r="R473" s="2"/>
    </row>
    <row r="474" spans="1:18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92"/>
      <c r="L474" s="192"/>
      <c r="M474" s="75"/>
      <c r="N474" s="2"/>
      <c r="O474" s="2"/>
      <c r="P474" s="2"/>
      <c r="Q474" s="2"/>
      <c r="R474" s="2"/>
    </row>
    <row r="475" spans="1:18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92"/>
      <c r="L475" s="192"/>
      <c r="M475" s="75"/>
      <c r="N475" s="2"/>
      <c r="O475" s="2"/>
      <c r="P475" s="2"/>
      <c r="Q475" s="2"/>
      <c r="R475" s="2"/>
    </row>
    <row r="476" spans="1:18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92"/>
      <c r="L476" s="192"/>
      <c r="M476" s="75"/>
      <c r="N476" s="2"/>
      <c r="O476" s="2"/>
      <c r="P476" s="2"/>
      <c r="Q476" s="2"/>
      <c r="R476" s="2"/>
    </row>
    <row r="477" spans="1:18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92"/>
      <c r="L477" s="192"/>
      <c r="M477" s="75"/>
      <c r="N477" s="2"/>
      <c r="O477" s="2"/>
      <c r="P477" s="2"/>
      <c r="Q477" s="2"/>
      <c r="R477" s="2"/>
    </row>
    <row r="478" spans="1:18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92"/>
      <c r="L478" s="192"/>
      <c r="M478" s="75"/>
      <c r="N478" s="2"/>
      <c r="O478" s="2"/>
      <c r="P478" s="2"/>
      <c r="Q478" s="2"/>
      <c r="R478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52" max="12" man="1"/>
    <brk id="97" max="12" man="1"/>
    <brk id="142" max="12" man="1"/>
    <brk id="1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25">
      <selection activeCell="O42" sqref="O42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DATE(2015,7,1)</f>
        <v>42186</v>
      </c>
      <c r="B10" s="89">
        <f>'MONTHLY STATS'!$C$9*2</f>
        <v>567862</v>
      </c>
      <c r="C10" s="89">
        <f>'MONTHLY STATS'!$C$24*2</f>
        <v>328648</v>
      </c>
      <c r="D10" s="89">
        <f>'MONTHLY STATS'!$C$39*2</f>
        <v>156452</v>
      </c>
      <c r="E10" s="89">
        <f>'MONTHLY STATS'!$C$54*2</f>
        <v>989800</v>
      </c>
      <c r="F10" s="89">
        <f>'MONTHLY STATS'!$C$69*2</f>
        <v>638416</v>
      </c>
      <c r="G10" s="89">
        <f>'MONTHLY STATS'!$C$84*2</f>
        <v>325682</v>
      </c>
      <c r="H10" s="89">
        <f>'MONTHLY STATS'!$C$99*2</f>
        <v>445524</v>
      </c>
      <c r="I10" s="89">
        <f>'MONTHLY STATS'!$C$114*2</f>
        <v>630434</v>
      </c>
      <c r="J10" s="89">
        <f>'MONTHLY STATS'!$C$129*2</f>
        <v>893676</v>
      </c>
      <c r="K10" s="89">
        <f>'MONTHLY STATS'!$C$144*2</f>
        <v>1029106</v>
      </c>
      <c r="L10" s="89">
        <f>'MONTHLY STATS'!$C$159*2</f>
        <v>172738</v>
      </c>
      <c r="M10" s="89">
        <f>'MONTHLY STATS'!$C$174*2</f>
        <v>1064518</v>
      </c>
      <c r="N10" s="89">
        <f>'MONTHLY STATS'!$C$189*2</f>
        <v>201898</v>
      </c>
      <c r="O10" s="90">
        <f aca="true" t="shared" si="0" ref="O10:O15">SUM(B10:N10)</f>
        <v>7444754</v>
      </c>
      <c r="P10" s="83"/>
    </row>
    <row r="11" spans="1:16" ht="15">
      <c r="A11" s="88">
        <f>DATE(2015,8,1)</f>
        <v>42217</v>
      </c>
      <c r="B11" s="89">
        <f>'MONTHLY STATS'!$C$10*2</f>
        <v>547336</v>
      </c>
      <c r="C11" s="89">
        <f>'MONTHLY STATS'!$C$25*2</f>
        <v>317948</v>
      </c>
      <c r="D11" s="89">
        <f>'MONTHLY STATS'!$C$40*2</f>
        <v>152380</v>
      </c>
      <c r="E11" s="89">
        <f>'MONTHLY STATS'!$C$55*2</f>
        <v>945548</v>
      </c>
      <c r="F11" s="89">
        <f>'MONTHLY STATS'!$C$70*2</f>
        <v>631310</v>
      </c>
      <c r="G11" s="89">
        <f>'MONTHLY STATS'!$C$85*2</f>
        <v>332762</v>
      </c>
      <c r="H11" s="89">
        <f>'MONTHLY STATS'!$C$100*2</f>
        <v>409544</v>
      </c>
      <c r="I11" s="89">
        <f>'MONTHLY STATS'!$C$115*2</f>
        <v>620944</v>
      </c>
      <c r="J11" s="89">
        <f>'MONTHLY STATS'!$C$130*2</f>
        <v>955004</v>
      </c>
      <c r="K11" s="89">
        <f>'MONTHLY STATS'!$C$145*2</f>
        <v>1030188</v>
      </c>
      <c r="L11" s="89">
        <f>'MONTHLY STATS'!$C$160*2</f>
        <v>169128</v>
      </c>
      <c r="M11" s="89">
        <f>'MONTHLY STATS'!$C$175*2</f>
        <v>1030350</v>
      </c>
      <c r="N11" s="89">
        <f>'MONTHLY STATS'!$C$190*2</f>
        <v>198988</v>
      </c>
      <c r="O11" s="90">
        <f t="shared" si="0"/>
        <v>7341430</v>
      </c>
      <c r="P11" s="83"/>
    </row>
    <row r="12" spans="1:16" ht="15">
      <c r="A12" s="88">
        <f>DATE(2015,9,1)</f>
        <v>42248</v>
      </c>
      <c r="B12" s="89">
        <f>'MONTHLY STATS'!$C$11*2</f>
        <v>532962</v>
      </c>
      <c r="C12" s="89">
        <f>'MONTHLY STATS'!$C$26*2</f>
        <v>292286</v>
      </c>
      <c r="D12" s="89">
        <f>'MONTHLY STATS'!$C$41*2</f>
        <v>151226</v>
      </c>
      <c r="E12" s="89">
        <f>'MONTHLY STATS'!$C$56*2</f>
        <v>852590</v>
      </c>
      <c r="F12" s="89">
        <f>'MONTHLY STATS'!$C$71*2</f>
        <v>586908</v>
      </c>
      <c r="G12" s="89">
        <f>'MONTHLY STATS'!$C$86*2</f>
        <v>315526</v>
      </c>
      <c r="H12" s="89">
        <f>'MONTHLY STATS'!$C$101*2</f>
        <v>390740</v>
      </c>
      <c r="I12" s="89">
        <f>'MONTHLY STATS'!$C$116*2</f>
        <v>683046</v>
      </c>
      <c r="J12" s="89">
        <f>'MONTHLY STATS'!$C$131*2</f>
        <v>847092</v>
      </c>
      <c r="K12" s="89">
        <f>'MONTHLY STATS'!$C$146*2</f>
        <v>956732</v>
      </c>
      <c r="L12" s="89">
        <f>'MONTHLY STATS'!$C$161*2</f>
        <v>158606</v>
      </c>
      <c r="M12" s="89">
        <f>'MONTHLY STATS'!$C$176*2</f>
        <v>956286</v>
      </c>
      <c r="N12" s="89">
        <f>'MONTHLY STATS'!$C$191*2</f>
        <v>185390</v>
      </c>
      <c r="O12" s="90">
        <f t="shared" si="0"/>
        <v>6909390</v>
      </c>
      <c r="P12" s="83"/>
    </row>
    <row r="13" spans="1:16" ht="15">
      <c r="A13" s="88">
        <f>DATE(2015,10,1)</f>
        <v>42278</v>
      </c>
      <c r="B13" s="89">
        <f>'MONTHLY STATS'!$C$12*2</f>
        <v>546174</v>
      </c>
      <c r="C13" s="89">
        <f>'MONTHLY STATS'!$C$27*2</f>
        <v>298590</v>
      </c>
      <c r="D13" s="89">
        <f>'MONTHLY STATS'!$C$42*2</f>
        <v>144800</v>
      </c>
      <c r="E13" s="89">
        <f>'MONTHLY STATS'!$C$57*2</f>
        <v>862710</v>
      </c>
      <c r="F13" s="89">
        <f>'MONTHLY STATS'!$C$72*2</f>
        <v>630142</v>
      </c>
      <c r="G13" s="89">
        <f>'MONTHLY STATS'!$C$87*2</f>
        <v>296958</v>
      </c>
      <c r="H13" s="89">
        <f>'MONTHLY STATS'!$C$102*2</f>
        <v>394966</v>
      </c>
      <c r="I13" s="89">
        <f>'MONTHLY STATS'!$C$117*2</f>
        <v>646712</v>
      </c>
      <c r="J13" s="89">
        <f>'MONTHLY STATS'!$C$132*2</f>
        <v>857450</v>
      </c>
      <c r="K13" s="89">
        <f>'MONTHLY STATS'!$C$147*2</f>
        <v>1060518</v>
      </c>
      <c r="L13" s="89">
        <f>'MONTHLY STATS'!$C$162*2</f>
        <v>164086</v>
      </c>
      <c r="M13" s="89">
        <f>'MONTHLY STATS'!$C$177*2</f>
        <v>1006910</v>
      </c>
      <c r="N13" s="89">
        <f>'MONTHLY STATS'!$C$192*2</f>
        <v>192578</v>
      </c>
      <c r="O13" s="90">
        <f t="shared" si="0"/>
        <v>7102594</v>
      </c>
      <c r="P13" s="83"/>
    </row>
    <row r="14" spans="1:16" ht="15">
      <c r="A14" s="88">
        <f>DATE(2015,11,1)</f>
        <v>42309</v>
      </c>
      <c r="B14" s="89">
        <f>'MONTHLY STATS'!$C$13*2</f>
        <v>515272</v>
      </c>
      <c r="C14" s="89">
        <f>'MONTHLY STATS'!$C$28*2</f>
        <v>276538</v>
      </c>
      <c r="D14" s="89">
        <f>'MONTHLY STATS'!$C$43*2</f>
        <v>136894</v>
      </c>
      <c r="E14" s="89">
        <f>'MONTHLY STATS'!$C$58*2</f>
        <v>840100</v>
      </c>
      <c r="F14" s="89">
        <f>'MONTHLY STATS'!$C$73*2</f>
        <v>594664</v>
      </c>
      <c r="G14" s="89">
        <f>'MONTHLY STATS'!$C$88*2</f>
        <v>290706</v>
      </c>
      <c r="H14" s="89">
        <f>'MONTHLY STATS'!$C$103*2</f>
        <v>348432</v>
      </c>
      <c r="I14" s="89">
        <f>'MONTHLY STATS'!$C$118*2</f>
        <v>601050</v>
      </c>
      <c r="J14" s="89">
        <f>'MONTHLY STATS'!$C$133*2</f>
        <v>798444</v>
      </c>
      <c r="K14" s="89">
        <f>'MONTHLY STATS'!$C$148*2</f>
        <v>963374</v>
      </c>
      <c r="L14" s="89">
        <f>'MONTHLY STATS'!$C$163*2</f>
        <v>145672</v>
      </c>
      <c r="M14" s="89">
        <f>'MONTHLY STATS'!$C$178*2</f>
        <v>999774</v>
      </c>
      <c r="N14" s="89">
        <f>'MONTHLY STATS'!$C$193*2</f>
        <v>182668</v>
      </c>
      <c r="O14" s="90">
        <f t="shared" si="0"/>
        <v>6693588</v>
      </c>
      <c r="P14" s="83"/>
    </row>
    <row r="15" spans="1:16" ht="15">
      <c r="A15" s="88">
        <f>DATE(2015,12,1)</f>
        <v>42339</v>
      </c>
      <c r="B15" s="89">
        <f>'MONTHLY STATS'!$C$14*2</f>
        <v>576004</v>
      </c>
      <c r="C15" s="89">
        <f>'MONTHLY STATS'!$C$29*2</f>
        <v>299606</v>
      </c>
      <c r="D15" s="89">
        <f>'MONTHLY STATS'!$C$44*2</f>
        <v>147696</v>
      </c>
      <c r="E15" s="89">
        <f>'MONTHLY STATS'!$C$59*2</f>
        <v>892276</v>
      </c>
      <c r="F15" s="89">
        <f>'MONTHLY STATS'!$C$74*2</f>
        <v>627970</v>
      </c>
      <c r="G15" s="89">
        <f>'MONTHLY STATS'!$C$89*2</f>
        <v>318608</v>
      </c>
      <c r="H15" s="89">
        <f>'MONTHLY STATS'!$C$104*2</f>
        <v>396262</v>
      </c>
      <c r="I15" s="89">
        <f>'MONTHLY STATS'!$C$119*2</f>
        <v>647966</v>
      </c>
      <c r="J15" s="89">
        <f>'MONTHLY STATS'!$C$134*2</f>
        <v>889420</v>
      </c>
      <c r="K15" s="89">
        <f>'MONTHLY STATS'!$C$149*2</f>
        <v>988366</v>
      </c>
      <c r="L15" s="89">
        <f>'MONTHLY STATS'!$C$164*2</f>
        <v>162312</v>
      </c>
      <c r="M15" s="89">
        <f>'MONTHLY STATS'!$C$179*2</f>
        <v>1029018</v>
      </c>
      <c r="N15" s="89">
        <f>'MONTHLY STATS'!$C$194*2</f>
        <v>201394</v>
      </c>
      <c r="O15" s="90">
        <f t="shared" si="0"/>
        <v>7176898</v>
      </c>
      <c r="P15" s="83"/>
    </row>
    <row r="16" spans="1:16" ht="15">
      <c r="A16" s="88">
        <f>DATE(2016,1,1)</f>
        <v>42370</v>
      </c>
      <c r="B16" s="89">
        <f>'MONTHLY STATS'!$C$15*2</f>
        <v>584148</v>
      </c>
      <c r="C16" s="89">
        <f>'MONTHLY STATS'!$C$30*2</f>
        <v>292526</v>
      </c>
      <c r="D16" s="89">
        <f>'MONTHLY STATS'!$C$45*2</f>
        <v>132752</v>
      </c>
      <c r="E16" s="89">
        <f>'MONTHLY STATS'!$C$60*2</f>
        <v>907762</v>
      </c>
      <c r="F16" s="89">
        <f>'MONTHLY STATS'!$C$75*2</f>
        <v>601082</v>
      </c>
      <c r="G16" s="89">
        <f>'MONTHLY STATS'!$C$90*2</f>
        <v>292872</v>
      </c>
      <c r="H16" s="89">
        <f>'MONTHLY STATS'!$C$105*2</f>
        <v>358424</v>
      </c>
      <c r="I16" s="89">
        <f>'MONTHLY STATS'!$C$120*2</f>
        <v>660388</v>
      </c>
      <c r="J16" s="89">
        <f>'MONTHLY STATS'!$C$135*2</f>
        <v>881972</v>
      </c>
      <c r="K16" s="89">
        <f>'MONTHLY STATS'!$C$150*2</f>
        <v>974888</v>
      </c>
      <c r="L16" s="89">
        <f>'MONTHLY STATS'!$C$165*2</f>
        <v>155780</v>
      </c>
      <c r="M16" s="89">
        <f>'MONTHLY STATS'!$C$180*2</f>
        <v>1006472</v>
      </c>
      <c r="N16" s="89">
        <f>'MONTHLY STATS'!$C$195*2</f>
        <v>183378</v>
      </c>
      <c r="O16" s="90">
        <f aca="true" t="shared" si="1" ref="O16:O21">SUM(B16:N16)</f>
        <v>7032444</v>
      </c>
      <c r="P16" s="83"/>
    </row>
    <row r="17" spans="1:16" ht="15">
      <c r="A17" s="88">
        <f>DATE(2016,2,1)</f>
        <v>42401</v>
      </c>
      <c r="B17" s="89">
        <f>'MONTHLY STATS'!$C$16*2</f>
        <v>603402</v>
      </c>
      <c r="C17" s="89">
        <f>'MONTHLY STATS'!$C$31*2</f>
        <v>313136</v>
      </c>
      <c r="D17" s="89">
        <f>'MONTHLY STATS'!$C$46*2</f>
        <v>157740</v>
      </c>
      <c r="E17" s="89">
        <f>'MONTHLY STATS'!$C$61*2</f>
        <v>908110</v>
      </c>
      <c r="F17" s="89">
        <f>'MONTHLY STATS'!$C$76*2</f>
        <v>625394</v>
      </c>
      <c r="G17" s="89">
        <f>'MONTHLY STATS'!$C$91*2</f>
        <v>319238</v>
      </c>
      <c r="H17" s="89">
        <f>'MONTHLY STATS'!$C$106*2</f>
        <v>397974</v>
      </c>
      <c r="I17" s="89">
        <f>'MONTHLY STATS'!$C$121*2</f>
        <v>688714</v>
      </c>
      <c r="J17" s="89">
        <f>'MONTHLY STATS'!$C$136*2</f>
        <v>890054</v>
      </c>
      <c r="K17" s="89">
        <f>'MONTHLY STATS'!$C$151*2</f>
        <v>1012628</v>
      </c>
      <c r="L17" s="89">
        <f>'MONTHLY STATS'!$C$166*2</f>
        <v>162254</v>
      </c>
      <c r="M17" s="89">
        <f>'MONTHLY STATS'!$C$181*2</f>
        <v>991432</v>
      </c>
      <c r="N17" s="89">
        <f>'MONTHLY STATS'!$C$196*2</f>
        <v>202898</v>
      </c>
      <c r="O17" s="90">
        <f t="shared" si="1"/>
        <v>7272974</v>
      </c>
      <c r="P17" s="83"/>
    </row>
    <row r="18" spans="1:16" ht="15">
      <c r="A18" s="88">
        <f>DATE(2016,3,1)</f>
        <v>42430</v>
      </c>
      <c r="B18" s="89">
        <f>'MONTHLY STATS'!$C$17*2</f>
        <v>605980</v>
      </c>
      <c r="C18" s="89">
        <f>'MONTHLY STATS'!$C$32*2</f>
        <v>316384</v>
      </c>
      <c r="D18" s="89">
        <f>'MONTHLY STATS'!$C$47*2</f>
        <v>157332</v>
      </c>
      <c r="E18" s="89">
        <f>'MONTHLY STATS'!$C$62*2</f>
        <v>952870</v>
      </c>
      <c r="F18" s="89">
        <f>'MONTHLY STATS'!$C$77*2</f>
        <v>634482</v>
      </c>
      <c r="G18" s="89">
        <f>'MONTHLY STATS'!$C$92*2</f>
        <v>320272</v>
      </c>
      <c r="H18" s="89">
        <f>'MONTHLY STATS'!$C$107*2</f>
        <v>400862</v>
      </c>
      <c r="I18" s="89">
        <f>'MONTHLY STATS'!$C$122*2</f>
        <v>676374</v>
      </c>
      <c r="J18" s="89">
        <f>'MONTHLY STATS'!$C$137*2</f>
        <v>912746</v>
      </c>
      <c r="K18" s="89">
        <f>'MONTHLY STATS'!$C$152*2</f>
        <v>1035540</v>
      </c>
      <c r="L18" s="89">
        <f>'MONTHLY STATS'!$C$167*2</f>
        <v>168824</v>
      </c>
      <c r="M18" s="89">
        <f>'MONTHLY STATS'!$C$182*2</f>
        <v>1021984</v>
      </c>
      <c r="N18" s="89">
        <f>'MONTHLY STATS'!$C$197*2</f>
        <v>200338</v>
      </c>
      <c r="O18" s="90">
        <f t="shared" si="1"/>
        <v>7403988</v>
      </c>
      <c r="P18" s="83"/>
    </row>
    <row r="19" spans="1:16" ht="15">
      <c r="A19" s="88">
        <f>DATE(2016,4,1)</f>
        <v>42461</v>
      </c>
      <c r="B19" s="89">
        <f>'MONTHLY STATS'!$C$18*2</f>
        <v>610746</v>
      </c>
      <c r="C19" s="89">
        <f>'MONTHLY STATS'!$C$33*2</f>
        <v>305956</v>
      </c>
      <c r="D19" s="89">
        <f>'MONTHLY STATS'!$C$48*2</f>
        <v>152220</v>
      </c>
      <c r="E19" s="89">
        <f>'MONTHLY STATS'!$C$63*2</f>
        <v>914004</v>
      </c>
      <c r="F19" s="89">
        <f>'MONTHLY STATS'!$C$78*2</f>
        <v>608798</v>
      </c>
      <c r="G19" s="89">
        <f>'MONTHLY STATS'!$C$93*2</f>
        <v>307554</v>
      </c>
      <c r="H19" s="89">
        <f>'MONTHLY STATS'!$C$108*2</f>
        <v>389498</v>
      </c>
      <c r="I19" s="89">
        <f>'MONTHLY STATS'!$C$123*2</f>
        <v>657776</v>
      </c>
      <c r="J19" s="89">
        <f>'MONTHLY STATS'!$C$138*2</f>
        <v>868442</v>
      </c>
      <c r="K19" s="89">
        <f>'MONTHLY STATS'!$C$153*2</f>
        <v>930678</v>
      </c>
      <c r="L19" s="89">
        <f>'MONTHLY STATS'!$C$168*2</f>
        <v>153894</v>
      </c>
      <c r="M19" s="89">
        <f>'MONTHLY STATS'!$C$183*2</f>
        <v>974670</v>
      </c>
      <c r="N19" s="89">
        <f>'MONTHLY STATS'!$C$198*2</f>
        <v>194010</v>
      </c>
      <c r="O19" s="90">
        <f t="shared" si="1"/>
        <v>7068246</v>
      </c>
      <c r="P19" s="83"/>
    </row>
    <row r="20" spans="1:16" ht="15">
      <c r="A20" s="88">
        <f>DATE(2016,5,1)</f>
        <v>42491</v>
      </c>
      <c r="B20" s="89">
        <f>'MONTHLY STATS'!$C$19*2</f>
        <v>588996</v>
      </c>
      <c r="C20" s="89">
        <f>'MONTHLY STATS'!$C$34*2</f>
        <v>296432</v>
      </c>
      <c r="D20" s="89">
        <f>'MONTHLY STATS'!$C$49*2</f>
        <v>149850</v>
      </c>
      <c r="E20" s="89">
        <f>'MONTHLY STATS'!$C$64*2</f>
        <v>925218</v>
      </c>
      <c r="F20" s="89">
        <f>'MONTHLY STATS'!$C$79*2</f>
        <v>611540</v>
      </c>
      <c r="G20" s="89">
        <f>'MONTHLY STATS'!$C$94*2</f>
        <v>311376</v>
      </c>
      <c r="H20" s="89">
        <f>'MONTHLY STATS'!$C$109*2</f>
        <v>385012</v>
      </c>
      <c r="I20" s="89">
        <f>'MONTHLY STATS'!$C$124*2</f>
        <v>634222</v>
      </c>
      <c r="J20" s="89">
        <f>'MONTHLY STATS'!$C$139*2</f>
        <v>837110</v>
      </c>
      <c r="K20" s="89">
        <f>'MONTHLY STATS'!$C$154*2</f>
        <v>994336</v>
      </c>
      <c r="L20" s="89">
        <f>'MONTHLY STATS'!$C$169*2</f>
        <v>149190</v>
      </c>
      <c r="M20" s="89">
        <f>'MONTHLY STATS'!$C$184*2</f>
        <v>983486</v>
      </c>
      <c r="N20" s="89">
        <f>'MONTHLY STATS'!$C$199*2</f>
        <v>191750</v>
      </c>
      <c r="O20" s="90">
        <f t="shared" si="1"/>
        <v>7058518</v>
      </c>
      <c r="P20" s="83"/>
    </row>
    <row r="21" spans="1:16" ht="15">
      <c r="A21" s="88">
        <f>DATE(2016,6,1)</f>
        <v>42522</v>
      </c>
      <c r="B21" s="89">
        <f>'MONTHLY STATS'!$C$20*2</f>
        <v>534052</v>
      </c>
      <c r="C21" s="89">
        <f>'MONTHLY STATS'!$C$35*2</f>
        <v>293820</v>
      </c>
      <c r="D21" s="89">
        <f>'MONTHLY STATS'!$C$50*2</f>
        <v>142436</v>
      </c>
      <c r="E21" s="89">
        <f>'MONTHLY STATS'!$C$65*2</f>
        <v>864402</v>
      </c>
      <c r="F21" s="89">
        <f>'MONTHLY STATS'!$C$80*2</f>
        <v>565456</v>
      </c>
      <c r="G21" s="89">
        <f>'MONTHLY STATS'!$C$95*2</f>
        <v>297724</v>
      </c>
      <c r="H21" s="89">
        <f>'MONTHLY STATS'!$C$110*2</f>
        <v>365726</v>
      </c>
      <c r="I21" s="89">
        <f>'MONTHLY STATS'!$C$125*2</f>
        <v>559712</v>
      </c>
      <c r="J21" s="89">
        <f>'MONTHLY STATS'!$C$140*2</f>
        <v>786380</v>
      </c>
      <c r="K21" s="89">
        <f>'MONTHLY STATS'!$C$155*2</f>
        <v>884162</v>
      </c>
      <c r="L21" s="89">
        <f>'MONTHLY STATS'!$C$170*2</f>
        <v>136608</v>
      </c>
      <c r="M21" s="89">
        <f>'MONTHLY STATS'!$C$185*2</f>
        <v>910494</v>
      </c>
      <c r="N21" s="89">
        <f>'MONTHLY STATS'!$C$200*2</f>
        <v>174546</v>
      </c>
      <c r="O21" s="90">
        <f t="shared" si="1"/>
        <v>6515518</v>
      </c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29</v>
      </c>
      <c r="B23" s="90">
        <f aca="true" t="shared" si="2" ref="B23:O23">SUM(B10:B21)</f>
        <v>6812934</v>
      </c>
      <c r="C23" s="90">
        <f t="shared" si="2"/>
        <v>3631870</v>
      </c>
      <c r="D23" s="90">
        <f t="shared" si="2"/>
        <v>1781778</v>
      </c>
      <c r="E23" s="90">
        <f t="shared" si="2"/>
        <v>10855390</v>
      </c>
      <c r="F23" s="90">
        <f t="shared" si="2"/>
        <v>7356162</v>
      </c>
      <c r="G23" s="90">
        <f>SUM(G10:G21)</f>
        <v>3729278</v>
      </c>
      <c r="H23" s="90">
        <f t="shared" si="2"/>
        <v>4682964</v>
      </c>
      <c r="I23" s="90">
        <f>SUM(I10:I21)</f>
        <v>7707338</v>
      </c>
      <c r="J23" s="90">
        <f t="shared" si="2"/>
        <v>10417790</v>
      </c>
      <c r="K23" s="90">
        <f>SUM(K10:K21)</f>
        <v>11860516</v>
      </c>
      <c r="L23" s="90">
        <f t="shared" si="2"/>
        <v>1899092</v>
      </c>
      <c r="M23" s="90">
        <f t="shared" si="2"/>
        <v>11975394</v>
      </c>
      <c r="N23" s="90">
        <f t="shared" si="2"/>
        <v>2309836</v>
      </c>
      <c r="O23" s="90">
        <f t="shared" si="2"/>
        <v>85020342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DATE(2015,7,1)</f>
        <v>42186</v>
      </c>
      <c r="B31" s="89">
        <f>'MONTHLY STATS'!$K$9*0.21</f>
        <v>2698484.3655</v>
      </c>
      <c r="C31" s="89">
        <f>'MONTHLY STATS'!$K$24*0.21</f>
        <v>1494049.2945</v>
      </c>
      <c r="D31" s="89">
        <f>'MONTHLY STATS'!$K$39*0.21</f>
        <v>660941.3054999999</v>
      </c>
      <c r="E31" s="89">
        <f>'MONTHLY STATS'!$K$54*0.21</f>
        <v>4382112.5418</v>
      </c>
      <c r="F31" s="89">
        <f>'MONTHLY STATS'!$K$69*0.21</f>
        <v>3013467.9203999997</v>
      </c>
      <c r="G31" s="89">
        <f>'MONTHLY STATS'!$K$84*0.21</f>
        <v>1111036.8738</v>
      </c>
      <c r="H31" s="89">
        <f>'MONTHLY STATS'!$K$99*0.21</f>
        <v>1456162.3335</v>
      </c>
      <c r="I31" s="89">
        <f>'MONTHLY STATS'!$K$114*0.21</f>
        <v>2323265.5068</v>
      </c>
      <c r="J31" s="89">
        <f>'MONTHLY STATS'!$K$129*0.21</f>
        <v>3583034.3030999997</v>
      </c>
      <c r="K31" s="89">
        <f>'MONTHLY STATS'!$K$144*0.21</f>
        <v>3814358.4507000004</v>
      </c>
      <c r="L31" s="89">
        <f>'MONTHLY STATS'!$K$159*0.21</f>
        <v>655394.7771</v>
      </c>
      <c r="M31" s="89">
        <f>'MONTHLY STATS'!$K$174*0.21</f>
        <v>4789102.9326</v>
      </c>
      <c r="N31" s="89">
        <f>'MONTHLY STATS'!$K$189*0.21</f>
        <v>714995.0661</v>
      </c>
      <c r="O31" s="90">
        <f aca="true" t="shared" si="3" ref="O31:O36">SUM(B31:N31)</f>
        <v>30696405.671400003</v>
      </c>
      <c r="P31" s="83"/>
    </row>
    <row r="32" spans="1:16" ht="15">
      <c r="A32" s="88">
        <f>DATE(2015,8,1)</f>
        <v>42217</v>
      </c>
      <c r="B32" s="89">
        <f>'MONTHLY STATS'!$K$10*0.21</f>
        <v>2509698.8826</v>
      </c>
      <c r="C32" s="89">
        <f>'MONTHLY STATS'!$K$25*0.21</f>
        <v>1437749.7308999998</v>
      </c>
      <c r="D32" s="89">
        <f>'MONTHLY STATS'!$K$40*0.21</f>
        <v>624360.5802</v>
      </c>
      <c r="E32" s="89">
        <f>'MONTHLY STATS'!$K$55*0.21</f>
        <v>4258795.6782</v>
      </c>
      <c r="F32" s="89">
        <f>'MONTHLY STATS'!$K$70*0.21</f>
        <v>2981094.6543</v>
      </c>
      <c r="G32" s="89">
        <f>'MONTHLY STATS'!$K$85*0.21</f>
        <v>1156465.9407</v>
      </c>
      <c r="H32" s="89">
        <f>'MONTHLY STATS'!$K$100*0.21</f>
        <v>1357816.3557</v>
      </c>
      <c r="I32" s="89">
        <f>'MONTHLY STATS'!$K$115*0.21</f>
        <v>2222382.7835999997</v>
      </c>
      <c r="J32" s="89">
        <f>'MONTHLY STATS'!$K$130*0.21</f>
        <v>3612277.0130999996</v>
      </c>
      <c r="K32" s="89">
        <f>'MONTHLY STATS'!$K$145*0.21</f>
        <v>4000563.3759</v>
      </c>
      <c r="L32" s="89">
        <f>'MONTHLY STATS'!$K$160*0.21</f>
        <v>638382.3831</v>
      </c>
      <c r="M32" s="89">
        <f>'MONTHLY STATS'!$K$175*0.21</f>
        <v>4596049.2585</v>
      </c>
      <c r="N32" s="89">
        <f>'MONTHLY STATS'!$K$190*0.21</f>
        <v>690901.6148999999</v>
      </c>
      <c r="O32" s="90">
        <f t="shared" si="3"/>
        <v>30086538.2517</v>
      </c>
      <c r="P32" s="83"/>
    </row>
    <row r="33" spans="1:16" ht="15">
      <c r="A33" s="88">
        <f>DATE(2015,9,1)</f>
        <v>42248</v>
      </c>
      <c r="B33" s="89">
        <f>'MONTHLY STATS'!$K$11*0.21</f>
        <v>2470002.192</v>
      </c>
      <c r="C33" s="89">
        <f>'MONTHLY STATS'!$K$26*0.21</f>
        <v>1348264.6422000001</v>
      </c>
      <c r="D33" s="89">
        <f>'MONTHLY STATS'!$K$41*0.21</f>
        <v>618973.7063999999</v>
      </c>
      <c r="E33" s="89">
        <f>'MONTHLY STATS'!$K$56*0.21</f>
        <v>3730668.6647999994</v>
      </c>
      <c r="F33" s="89">
        <f>'MONTHLY STATS'!$K$71*0.21</f>
        <v>2728657.3587</v>
      </c>
      <c r="G33" s="89">
        <f>'MONTHLY STATS'!$K$86*0.21</f>
        <v>1059216.7698</v>
      </c>
      <c r="H33" s="89">
        <f>'MONTHLY STATS'!$K$101*0.21</f>
        <v>1236178.3916999998</v>
      </c>
      <c r="I33" s="89">
        <f>'MONTHLY STATS'!$K$116*0.21</f>
        <v>2464106.1920999996</v>
      </c>
      <c r="J33" s="89">
        <f>'MONTHLY STATS'!$K$131*0.21</f>
        <v>3374756.7567</v>
      </c>
      <c r="K33" s="89">
        <f>'MONTHLY STATS'!$K$146*0.21</f>
        <v>3613346.7657000003</v>
      </c>
      <c r="L33" s="89">
        <f>'MONTHLY STATS'!$K$161*0.21</f>
        <v>621447.876</v>
      </c>
      <c r="M33" s="89">
        <f>'MONTHLY STATS'!$K$176*0.21</f>
        <v>4372654.2006</v>
      </c>
      <c r="N33" s="89">
        <f>'MONTHLY STATS'!$K$191*0.21</f>
        <v>656773.8282</v>
      </c>
      <c r="O33" s="90">
        <f t="shared" si="3"/>
        <v>28295047.3449</v>
      </c>
      <c r="P33" s="83"/>
    </row>
    <row r="34" spans="1:16" ht="15">
      <c r="A34" s="88">
        <f>DATE(2015,10,1)</f>
        <v>42278</v>
      </c>
      <c r="B34" s="89">
        <f>'MONTHLY STATS'!$K$12*0.21</f>
        <v>2599586.3586</v>
      </c>
      <c r="C34" s="89">
        <f>'MONTHLY STATS'!$K$27*0.21</f>
        <v>1391446.0916999998</v>
      </c>
      <c r="D34" s="89">
        <f>'MONTHLY STATS'!$K$42*0.21</f>
        <v>649698.4221</v>
      </c>
      <c r="E34" s="89">
        <f>'MONTHLY STATS'!$K$57*0.21</f>
        <v>3923698.1847</v>
      </c>
      <c r="F34" s="89">
        <f>'MONTHLY STATS'!$K$72*0.21</f>
        <v>3428679.6621</v>
      </c>
      <c r="G34" s="89">
        <f>'MONTHLY STATS'!$K$87*0.21</f>
        <v>1133573.7693</v>
      </c>
      <c r="H34" s="89">
        <f>'MONTHLY STATS'!$K$102*0.21</f>
        <v>1272812.73</v>
      </c>
      <c r="I34" s="89">
        <f>'MONTHLY STATS'!$K$117*0.21</f>
        <v>2529500.4063</v>
      </c>
      <c r="J34" s="89">
        <f>'MONTHLY STATS'!$K$132*0.21</f>
        <v>3348484.9313999997</v>
      </c>
      <c r="K34" s="89">
        <f>'MONTHLY STATS'!$K$147*0.21</f>
        <v>4117505.8449</v>
      </c>
      <c r="L34" s="89">
        <f>'MONTHLY STATS'!$K$162*0.21</f>
        <v>648017.7731999999</v>
      </c>
      <c r="M34" s="89">
        <f>'MONTHLY STATS'!$K$177*0.21</f>
        <v>4648615.5638999995</v>
      </c>
      <c r="N34" s="89">
        <f>'MONTHLY STATS'!$K$192*0.21</f>
        <v>674794.9047</v>
      </c>
      <c r="O34" s="90">
        <f t="shared" si="3"/>
        <v>30366414.6429</v>
      </c>
      <c r="P34" s="83"/>
    </row>
    <row r="35" spans="1:16" ht="15">
      <c r="A35" s="88">
        <f>DATE(2015,11,1)</f>
        <v>42309</v>
      </c>
      <c r="B35" s="89">
        <f>'MONTHLY STATS'!$K$13*0.21</f>
        <v>2416082.8839</v>
      </c>
      <c r="C35" s="89">
        <f>'MONTHLY STATS'!$K$28*0.21</f>
        <v>1336966.1802</v>
      </c>
      <c r="D35" s="89">
        <f>'MONTHLY STATS'!$K$43*0.21</f>
        <v>584879.9439</v>
      </c>
      <c r="E35" s="89">
        <f>'MONTHLY STATS'!$K$58*0.21</f>
        <v>3740441.8989</v>
      </c>
      <c r="F35" s="89">
        <f>'MONTHLY STATS'!$K$73*0.21</f>
        <v>2716013.5653</v>
      </c>
      <c r="G35" s="89">
        <f>'MONTHLY STATS'!$K$88*0.21</f>
        <v>1023649.1664</v>
      </c>
      <c r="H35" s="89">
        <f>'MONTHLY STATS'!$K$103*0.21</f>
        <v>1272961.9119</v>
      </c>
      <c r="I35" s="89">
        <f>'MONTHLY STATS'!$K$118*0.21</f>
        <v>2286421.6704</v>
      </c>
      <c r="J35" s="89">
        <f>'MONTHLY STATS'!$K$133*0.21</f>
        <v>3247605.4212</v>
      </c>
      <c r="K35" s="89">
        <f>'MONTHLY STATS'!$K$148*0.21</f>
        <v>3844893.2088</v>
      </c>
      <c r="L35" s="89">
        <f>'MONTHLY STATS'!$K$163*0.21</f>
        <v>617394.4476</v>
      </c>
      <c r="M35" s="89">
        <f>'MONTHLY STATS'!$K$178*0.21</f>
        <v>4499080.3683</v>
      </c>
      <c r="N35" s="89">
        <f>'MONTHLY STATS'!$K$193*0.21</f>
        <v>620105.0625</v>
      </c>
      <c r="O35" s="90">
        <f t="shared" si="3"/>
        <v>28206495.7293</v>
      </c>
      <c r="P35" s="83"/>
    </row>
    <row r="36" spans="1:16" ht="15">
      <c r="A36" s="88">
        <f>DATE(2015,12,1)</f>
        <v>42339</v>
      </c>
      <c r="B36" s="89">
        <f>'MONTHLY STATS'!$K$14*0.21</f>
        <v>2697501.7712999997</v>
      </c>
      <c r="C36" s="89">
        <f>'MONTHLY STATS'!$K$29*0.21</f>
        <v>1404312.693</v>
      </c>
      <c r="D36" s="89">
        <f>'MONTHLY STATS'!$K$44*0.21</f>
        <v>636453.8376</v>
      </c>
      <c r="E36" s="89">
        <f>'MONTHLY STATS'!$K$59*0.21</f>
        <v>3838061.6378999995</v>
      </c>
      <c r="F36" s="89">
        <f>'MONTHLY STATS'!$K$74*0.21</f>
        <v>3201024.5715</v>
      </c>
      <c r="G36" s="89">
        <f>'MONTHLY STATS'!$K$89*0.21</f>
        <v>1171148.6094</v>
      </c>
      <c r="H36" s="89">
        <f>'MONTHLY STATS'!$K$104*0.21</f>
        <v>1361395.4340000001</v>
      </c>
      <c r="I36" s="89">
        <f>'MONTHLY STATS'!$K$119*0.21</f>
        <v>2406190.3970999997</v>
      </c>
      <c r="J36" s="89">
        <f>'MONTHLY STATS'!$K$134*0.21</f>
        <v>3511223.7594</v>
      </c>
      <c r="K36" s="89">
        <f>'MONTHLY STATS'!$K$149*0.21</f>
        <v>3808843.311</v>
      </c>
      <c r="L36" s="89">
        <f>'MONTHLY STATS'!$K$164*0.21</f>
        <v>644936.1366</v>
      </c>
      <c r="M36" s="89">
        <f>'MONTHLY STATS'!$K$179*0.21</f>
        <v>4542120.6263999995</v>
      </c>
      <c r="N36" s="89">
        <f>'MONTHLY STATS'!$K$194*0.21</f>
        <v>686251.1376</v>
      </c>
      <c r="O36" s="90">
        <f t="shared" si="3"/>
        <v>29909463.9228</v>
      </c>
      <c r="P36" s="83"/>
    </row>
    <row r="37" spans="1:16" ht="15">
      <c r="A37" s="88">
        <f>DATE(2016,1,1)</f>
        <v>42370</v>
      </c>
      <c r="B37" s="89">
        <f>'MONTHLY STATS'!$K$15*0.21</f>
        <v>2636720.9924999997</v>
      </c>
      <c r="C37" s="89">
        <f>'MONTHLY STATS'!$K$30*0.21</f>
        <v>1372364.2065</v>
      </c>
      <c r="D37" s="89">
        <f>'MONTHLY STATS'!$K$45*0.21</f>
        <v>569525.3529</v>
      </c>
      <c r="E37" s="89">
        <f>'MONTHLY STATS'!$K$60*0.21</f>
        <v>3909934.1378999995</v>
      </c>
      <c r="F37" s="89">
        <f>'MONTHLY STATS'!$K$75*0.21</f>
        <v>2945310.5198999997</v>
      </c>
      <c r="G37" s="89">
        <f>'MONTHLY STATS'!$K$90*0.21</f>
        <v>1059932.6178</v>
      </c>
      <c r="H37" s="89">
        <f>'MONTHLY STATS'!$K$105*0.21</f>
        <v>1267469.1624</v>
      </c>
      <c r="I37" s="89">
        <f>'MONTHLY STATS'!$K$120*0.21</f>
        <v>2323292.2755</v>
      </c>
      <c r="J37" s="89">
        <f>'MONTHLY STATS'!$K$135*0.21</f>
        <v>3349012.7412</v>
      </c>
      <c r="K37" s="89">
        <f>'MONTHLY STATS'!$K$150*0.21</f>
        <v>3832644.9</v>
      </c>
      <c r="L37" s="89">
        <f>'MONTHLY STATS'!$K$165*0.21</f>
        <v>616704.1797</v>
      </c>
      <c r="M37" s="89">
        <f>'MONTHLY STATS'!$K$180*0.21</f>
        <v>4578021.84</v>
      </c>
      <c r="N37" s="89">
        <f>'MONTHLY STATS'!$K$195*0.21</f>
        <v>678838.9902</v>
      </c>
      <c r="O37" s="90">
        <f aca="true" t="shared" si="4" ref="O37:O42">SUM(B37:N37)</f>
        <v>29139771.9165</v>
      </c>
      <c r="P37" s="83"/>
    </row>
    <row r="38" spans="1:16" ht="15">
      <c r="A38" s="88">
        <f>DATE(2016,2,1)</f>
        <v>42401</v>
      </c>
      <c r="B38" s="89">
        <f>'MONTHLY STATS'!$K$16*0.21</f>
        <v>2738029.3016999997</v>
      </c>
      <c r="C38" s="89">
        <f>'MONTHLY STATS'!$K$31*0.21</f>
        <v>1486960.6227</v>
      </c>
      <c r="D38" s="89">
        <f>'MONTHLY STATS'!$K$46*0.21</f>
        <v>737345.9499</v>
      </c>
      <c r="E38" s="89">
        <f>'MONTHLY STATS'!$K$61*0.21</f>
        <v>3967110.9953999994</v>
      </c>
      <c r="F38" s="89">
        <f>'MONTHLY STATS'!$K$76*0.21</f>
        <v>3025689.0804</v>
      </c>
      <c r="G38" s="89">
        <f>'MONTHLY STATS'!$K$91*0.21</f>
        <v>1223368.9104</v>
      </c>
      <c r="H38" s="89">
        <f>'MONTHLY STATS'!$K$106*0.21</f>
        <v>1488506.2815</v>
      </c>
      <c r="I38" s="89">
        <f>'MONTHLY STATS'!$K$121*0.21</f>
        <v>2572091.4617999997</v>
      </c>
      <c r="J38" s="89">
        <f>'MONTHLY STATS'!$K$136*0.21</f>
        <v>3644771.1888</v>
      </c>
      <c r="K38" s="89">
        <f>'MONTHLY STATS'!$K$151*0.21</f>
        <v>4018522.3049999997</v>
      </c>
      <c r="L38" s="89">
        <f>'MONTHLY STATS'!$K$166*0.21</f>
        <v>658788.9315</v>
      </c>
      <c r="M38" s="89">
        <f>'MONTHLY STATS'!$K$181*0.21</f>
        <v>4565442.4347</v>
      </c>
      <c r="N38" s="89">
        <f>'MONTHLY STATS'!$K$196*0.21</f>
        <v>749660.5872</v>
      </c>
      <c r="O38" s="90">
        <f t="shared" si="4"/>
        <v>30876288.051</v>
      </c>
      <c r="P38" s="83"/>
    </row>
    <row r="39" spans="1:16" ht="15">
      <c r="A39" s="88">
        <f>DATE(2016,3,1)</f>
        <v>42430</v>
      </c>
      <c r="B39" s="89">
        <f>'MONTHLY STATS'!$K$17*0.21</f>
        <v>2792859.2643</v>
      </c>
      <c r="C39" s="89">
        <f>'MONTHLY STATS'!$K$32*0.21</f>
        <v>1489307.085</v>
      </c>
      <c r="D39" s="89">
        <f>'MONTHLY STATS'!$K$47*0.21</f>
        <v>730289.406</v>
      </c>
      <c r="E39" s="89">
        <f>'MONTHLY STATS'!$K$62*0.21</f>
        <v>4427629.130399999</v>
      </c>
      <c r="F39" s="89">
        <f>'MONTHLY STATS'!$K$77*0.21</f>
        <v>3205719.51</v>
      </c>
      <c r="G39" s="89">
        <f>'MONTHLY STATS'!$K$92*0.21</f>
        <v>1237122.3732</v>
      </c>
      <c r="H39" s="89">
        <f>'MONTHLY STATS'!$K$107*0.21</f>
        <v>1466797.7625</v>
      </c>
      <c r="I39" s="89">
        <f>'MONTHLY STATS'!$K$122*0.21</f>
        <v>2729399.652</v>
      </c>
      <c r="J39" s="89">
        <f>'MONTHLY STATS'!$K$137*0.21</f>
        <v>3865710.8258999996</v>
      </c>
      <c r="K39" s="89">
        <f>'MONTHLY STATS'!$K$152*0.21</f>
        <v>4176214.7385</v>
      </c>
      <c r="L39" s="89">
        <f>'MONTHLY STATS'!$K$167*0.21</f>
        <v>658422.5676</v>
      </c>
      <c r="M39" s="89">
        <f>'MONTHLY STATS'!$K$182*0.21</f>
        <v>4996460.1603</v>
      </c>
      <c r="N39" s="89">
        <f>'MONTHLY STATS'!$K$197*0.21</f>
        <v>769731.4695</v>
      </c>
      <c r="O39" s="90">
        <f t="shared" si="4"/>
        <v>32545663.9452</v>
      </c>
      <c r="P39" s="83"/>
    </row>
    <row r="40" spans="1:16" ht="15">
      <c r="A40" s="88">
        <f>DATE(2016,4,1)</f>
        <v>42461</v>
      </c>
      <c r="B40" s="89">
        <f>'MONTHLY STATS'!$K$18*0.21</f>
        <v>2945535.1212</v>
      </c>
      <c r="C40" s="89">
        <f>'MONTHLY STATS'!$K$33*0.21</f>
        <v>1536134.5608</v>
      </c>
      <c r="D40" s="89">
        <f>'MONTHLY STATS'!$K$48*0.21</f>
        <v>696780.6405</v>
      </c>
      <c r="E40" s="89">
        <f>'MONTHLY STATS'!$K$63*0.21</f>
        <v>4081343.8364999997</v>
      </c>
      <c r="F40" s="89">
        <f>'MONTHLY STATS'!$K$78*0.21</f>
        <v>3130663.4877</v>
      </c>
      <c r="G40" s="89">
        <f>'MONTHLY STATS'!$K$93*0.21</f>
        <v>1209319.3518</v>
      </c>
      <c r="H40" s="89">
        <f>'MONTHLY STATS'!$K$108*0.21</f>
        <v>1444832.2665</v>
      </c>
      <c r="I40" s="89">
        <f>'MONTHLY STATS'!$K$123*0.21</f>
        <v>2628781.5036</v>
      </c>
      <c r="J40" s="89">
        <f>'MONTHLY STATS'!$K$138*0.21</f>
        <v>3600075.0513</v>
      </c>
      <c r="K40" s="89">
        <f>'MONTHLY STATS'!$K$153*0.21</f>
        <v>3889514.3322</v>
      </c>
      <c r="L40" s="89">
        <f>'MONTHLY STATS'!$K$168*0.21</f>
        <v>632754.2655</v>
      </c>
      <c r="M40" s="89">
        <f>'MONTHLY STATS'!$K$183*0.21</f>
        <v>4710397.3896</v>
      </c>
      <c r="N40" s="89">
        <f>'MONTHLY STATS'!$K$198*0.21</f>
        <v>715779.0969</v>
      </c>
      <c r="O40" s="90">
        <f t="shared" si="4"/>
        <v>31221910.90410001</v>
      </c>
      <c r="P40" s="83"/>
    </row>
    <row r="41" spans="1:16" ht="15">
      <c r="A41" s="88">
        <f>DATE(2016,5,1)</f>
        <v>42491</v>
      </c>
      <c r="B41" s="89">
        <f>'MONTHLY STATS'!$K$19*0.21</f>
        <v>2759085.8274</v>
      </c>
      <c r="C41" s="89">
        <f>'MONTHLY STATS'!$K$34*0.21</f>
        <v>1442081.4975</v>
      </c>
      <c r="D41" s="89">
        <f>'MONTHLY STATS'!$K$49*0.21</f>
        <v>674224.7462999999</v>
      </c>
      <c r="E41" s="89">
        <f>'MONTHLY STATS'!$K$64*0.21</f>
        <v>3949705.7838000003</v>
      </c>
      <c r="F41" s="89">
        <f>'MONTHLY STATS'!$K$79*0.21</f>
        <v>3106560.6473999997</v>
      </c>
      <c r="G41" s="89">
        <f>'MONTHLY STATS'!$K$94*0.21</f>
        <v>1162722.3615</v>
      </c>
      <c r="H41" s="89">
        <f>'MONTHLY STATS'!$K$109*0.21</f>
        <v>1382908.7138999999</v>
      </c>
      <c r="I41" s="89">
        <f>'MONTHLY STATS'!$K$124*0.21</f>
        <v>2320218.2451</v>
      </c>
      <c r="J41" s="89">
        <f>'MONTHLY STATS'!$K$139*0.21</f>
        <v>3595449.5178</v>
      </c>
      <c r="K41" s="89">
        <f>'MONTHLY STATS'!$K$154*0.21</f>
        <v>4084920.3066000002</v>
      </c>
      <c r="L41" s="89">
        <f>'MONTHLY STATS'!$K$169*0.21</f>
        <v>608975.8520999999</v>
      </c>
      <c r="M41" s="89">
        <f>'MONTHLY STATS'!$K$184*0.21</f>
        <v>4525094.0658</v>
      </c>
      <c r="N41" s="89">
        <f>'MONTHLY STATS'!$K$199*0.21</f>
        <v>689193.4937999999</v>
      </c>
      <c r="O41" s="90">
        <f t="shared" si="4"/>
        <v>30301141.059</v>
      </c>
      <c r="P41" s="83"/>
    </row>
    <row r="42" spans="1:16" ht="15">
      <c r="A42" s="88">
        <f>DATE(2016,6,1)</f>
        <v>42522</v>
      </c>
      <c r="B42" s="89">
        <f>'MONTHLY STATS'!$K$20*0.21</f>
        <v>2483415.5472</v>
      </c>
      <c r="C42" s="89">
        <f>'MONTHLY STATS'!$K$35*0.21</f>
        <v>1388165.5115999999</v>
      </c>
      <c r="D42" s="89">
        <f>'MONTHLY STATS'!$K$50*0.21</f>
        <v>616067.739</v>
      </c>
      <c r="E42" s="89">
        <f>'MONTHLY STATS'!$K$65*0.21</f>
        <v>3771657.7941</v>
      </c>
      <c r="F42" s="89">
        <f>'MONTHLY STATS'!$K$80*0.21</f>
        <v>2817004.1886</v>
      </c>
      <c r="G42" s="89">
        <f>'MONTHLY STATS'!$K$95*0.21</f>
        <v>1061810.6036999999</v>
      </c>
      <c r="H42" s="89">
        <f>'MONTHLY STATS'!$K$110*0.21</f>
        <v>1253416.8968999998</v>
      </c>
      <c r="I42" s="89">
        <f>'MONTHLY STATS'!$K$125*0.21</f>
        <v>2203707.5298</v>
      </c>
      <c r="J42" s="89">
        <f>'MONTHLY STATS'!$K$140*0.21</f>
        <v>3250216.179</v>
      </c>
      <c r="K42" s="89">
        <f>'MONTHLY STATS'!$K$155*0.21</f>
        <v>3767581.7886</v>
      </c>
      <c r="L42" s="89">
        <f>'MONTHLY STATS'!$K$170*0.21</f>
        <v>575666.3766</v>
      </c>
      <c r="M42" s="89">
        <f>'MONTHLY STATS'!$K$185*0.21</f>
        <v>4245424.3251</v>
      </c>
      <c r="N42" s="89">
        <f>'MONTHLY STATS'!$K$200*0.21</f>
        <v>678615.3822</v>
      </c>
      <c r="O42" s="90">
        <f t="shared" si="4"/>
        <v>28112749.862400003</v>
      </c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29</v>
      </c>
      <c r="B44" s="90">
        <f aca="true" t="shared" si="5" ref="B44:O44">SUM(B31:B42)</f>
        <v>31747002.508199997</v>
      </c>
      <c r="C44" s="90">
        <f t="shared" si="5"/>
        <v>17127802.116600003</v>
      </c>
      <c r="D44" s="90">
        <f t="shared" si="5"/>
        <v>7799541.630299999</v>
      </c>
      <c r="E44" s="90">
        <f t="shared" si="5"/>
        <v>47981160.28439999</v>
      </c>
      <c r="F44" s="90">
        <f t="shared" si="5"/>
        <v>36299885.1663</v>
      </c>
      <c r="G44" s="90">
        <f t="shared" si="5"/>
        <v>13609367.347800002</v>
      </c>
      <c r="H44" s="90">
        <f t="shared" si="5"/>
        <v>16261258.2405</v>
      </c>
      <c r="I44" s="90">
        <f>SUM(I31:I42)</f>
        <v>29009357.6241</v>
      </c>
      <c r="J44" s="90">
        <f t="shared" si="5"/>
        <v>41982617.688899994</v>
      </c>
      <c r="K44" s="90">
        <f>SUM(K31:K42)</f>
        <v>46968909.32789999</v>
      </c>
      <c r="L44" s="90">
        <f t="shared" si="5"/>
        <v>7576885.566599999</v>
      </c>
      <c r="M44" s="90">
        <f t="shared" si="5"/>
        <v>55068463.1658</v>
      </c>
      <c r="N44" s="90">
        <f t="shared" si="5"/>
        <v>8325640.6338</v>
      </c>
      <c r="O44" s="90">
        <f t="shared" si="5"/>
        <v>359757891.30120003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">
      <c r="A50" s="115"/>
      <c r="B50" s="98"/>
      <c r="C50" s="98"/>
      <c r="D50" s="98"/>
      <c r="E50" s="98"/>
      <c r="F50" s="98"/>
      <c r="G50" s="98"/>
      <c r="H50" s="98"/>
      <c r="I50" s="98"/>
    </row>
    <row r="51" ht="1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9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5.7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38</v>
      </c>
      <c r="B9" s="131">
        <f>DATE(2015,7,1)</f>
        <v>42186</v>
      </c>
      <c r="C9" s="204">
        <v>5697664</v>
      </c>
      <c r="D9" s="204">
        <v>1228220.3</v>
      </c>
      <c r="E9" s="204">
        <v>885313</v>
      </c>
      <c r="F9" s="132">
        <f aca="true" t="shared" si="0" ref="F9:F20">(+D9-E9)/E9</f>
        <v>0.38732888820112216</v>
      </c>
      <c r="G9" s="215">
        <f aca="true" t="shared" si="1" ref="G9:G20">D9/C9</f>
        <v>0.21556558968728237</v>
      </c>
      <c r="H9" s="123"/>
    </row>
    <row r="10" spans="1:8" ht="15">
      <c r="A10" s="130"/>
      <c r="B10" s="131">
        <f>DATE(2015,8,1)</f>
        <v>42217</v>
      </c>
      <c r="C10" s="204">
        <v>6299080</v>
      </c>
      <c r="D10" s="204">
        <v>1133774.21</v>
      </c>
      <c r="E10" s="204">
        <v>1087040.34</v>
      </c>
      <c r="F10" s="132">
        <f t="shared" si="0"/>
        <v>0.042991845178441006</v>
      </c>
      <c r="G10" s="215">
        <f t="shared" si="1"/>
        <v>0.1799904446363596</v>
      </c>
      <c r="H10" s="123"/>
    </row>
    <row r="11" spans="1:8" ht="15">
      <c r="A11" s="130"/>
      <c r="B11" s="131">
        <f>DATE(2015,9,1)</f>
        <v>42248</v>
      </c>
      <c r="C11" s="204">
        <v>5730289</v>
      </c>
      <c r="D11" s="204">
        <v>1129285.5</v>
      </c>
      <c r="E11" s="204">
        <v>1089948.23</v>
      </c>
      <c r="F11" s="132">
        <f t="shared" si="0"/>
        <v>0.036090952686807905</v>
      </c>
      <c r="G11" s="215">
        <f t="shared" si="1"/>
        <v>0.19707304465795705</v>
      </c>
      <c r="H11" s="123"/>
    </row>
    <row r="12" spans="1:8" ht="15">
      <c r="A12" s="130"/>
      <c r="B12" s="131">
        <f>DATE(2015,10,1)</f>
        <v>42278</v>
      </c>
      <c r="C12" s="204">
        <v>5565735</v>
      </c>
      <c r="D12" s="204">
        <v>1252386.01</v>
      </c>
      <c r="E12" s="204">
        <v>1026326.55</v>
      </c>
      <c r="F12" s="132">
        <f t="shared" si="0"/>
        <v>0.220260754240451</v>
      </c>
      <c r="G12" s="215">
        <f t="shared" si="1"/>
        <v>0.2250171828159264</v>
      </c>
      <c r="H12" s="123"/>
    </row>
    <row r="13" spans="1:8" ht="15">
      <c r="A13" s="130"/>
      <c r="B13" s="131">
        <f>DATE(2015,11,1)</f>
        <v>42309</v>
      </c>
      <c r="C13" s="204">
        <v>5487036</v>
      </c>
      <c r="D13" s="204">
        <v>1206558.56</v>
      </c>
      <c r="E13" s="204">
        <v>833113.97</v>
      </c>
      <c r="F13" s="132">
        <f t="shared" si="0"/>
        <v>0.4482515039328894</v>
      </c>
      <c r="G13" s="215">
        <f t="shared" si="1"/>
        <v>0.21989259046231882</v>
      </c>
      <c r="H13" s="123"/>
    </row>
    <row r="14" spans="1:8" ht="15">
      <c r="A14" s="130"/>
      <c r="B14" s="131">
        <f>DATE(2015,12,1)</f>
        <v>42339</v>
      </c>
      <c r="C14" s="204">
        <v>6034466</v>
      </c>
      <c r="D14" s="204">
        <v>1200839</v>
      </c>
      <c r="E14" s="204">
        <v>957272.26</v>
      </c>
      <c r="F14" s="132">
        <f t="shared" si="0"/>
        <v>0.25443831413228246</v>
      </c>
      <c r="G14" s="215">
        <f t="shared" si="1"/>
        <v>0.19899672978520386</v>
      </c>
      <c r="H14" s="123"/>
    </row>
    <row r="15" spans="1:8" ht="15">
      <c r="A15" s="130"/>
      <c r="B15" s="131">
        <f>DATE(2016,1,1)</f>
        <v>42370</v>
      </c>
      <c r="C15" s="204">
        <v>6257241</v>
      </c>
      <c r="D15" s="204">
        <v>1272012.36</v>
      </c>
      <c r="E15" s="204">
        <v>1155524.87</v>
      </c>
      <c r="F15" s="132">
        <f t="shared" si="0"/>
        <v>0.10080915869859208</v>
      </c>
      <c r="G15" s="215">
        <f t="shared" si="1"/>
        <v>0.20328645804117185</v>
      </c>
      <c r="H15" s="123"/>
    </row>
    <row r="16" spans="1:8" ht="15">
      <c r="A16" s="130"/>
      <c r="B16" s="131">
        <f>DATE(2016,2,1)</f>
        <v>42401</v>
      </c>
      <c r="C16" s="204">
        <v>6933174</v>
      </c>
      <c r="D16" s="204">
        <v>1250229.88</v>
      </c>
      <c r="E16" s="204">
        <v>890271.85</v>
      </c>
      <c r="F16" s="132">
        <f t="shared" si="0"/>
        <v>0.40432372426467256</v>
      </c>
      <c r="G16" s="215">
        <f t="shared" si="1"/>
        <v>0.18032576133239983</v>
      </c>
      <c r="H16" s="123"/>
    </row>
    <row r="17" spans="1:8" ht="15">
      <c r="A17" s="130"/>
      <c r="B17" s="131">
        <f>DATE(2016,3,1)</f>
        <v>42430</v>
      </c>
      <c r="C17" s="204">
        <v>6958663</v>
      </c>
      <c r="D17" s="204">
        <v>1270410</v>
      </c>
      <c r="E17" s="204">
        <v>1254229.5</v>
      </c>
      <c r="F17" s="132">
        <f t="shared" si="0"/>
        <v>0.01290074902559699</v>
      </c>
      <c r="G17" s="215">
        <f t="shared" si="1"/>
        <v>0.1825652427772404</v>
      </c>
      <c r="H17" s="123"/>
    </row>
    <row r="18" spans="1:8" ht="15">
      <c r="A18" s="130"/>
      <c r="B18" s="131">
        <f>DATE(2016,4,1)</f>
        <v>42461</v>
      </c>
      <c r="C18" s="204">
        <v>7484451</v>
      </c>
      <c r="D18" s="204">
        <v>1537987.5</v>
      </c>
      <c r="E18" s="204">
        <v>946774.02</v>
      </c>
      <c r="F18" s="132">
        <f t="shared" si="0"/>
        <v>0.6244504681275475</v>
      </c>
      <c r="G18" s="215">
        <f t="shared" si="1"/>
        <v>0.20549102399093802</v>
      </c>
      <c r="H18" s="123"/>
    </row>
    <row r="19" spans="1:8" ht="15">
      <c r="A19" s="130"/>
      <c r="B19" s="131">
        <f>DATE(2016,5,1)</f>
        <v>42491</v>
      </c>
      <c r="C19" s="204">
        <v>7255040.1</v>
      </c>
      <c r="D19" s="204">
        <v>1392142.56</v>
      </c>
      <c r="E19" s="204">
        <v>1275153.62</v>
      </c>
      <c r="F19" s="132">
        <f t="shared" si="0"/>
        <v>0.09174497736202163</v>
      </c>
      <c r="G19" s="215">
        <f t="shared" si="1"/>
        <v>0.19188626676232984</v>
      </c>
      <c r="H19" s="123"/>
    </row>
    <row r="20" spans="1:8" ht="15">
      <c r="A20" s="130"/>
      <c r="B20" s="131">
        <f>DATE(2016,6,1)</f>
        <v>42522</v>
      </c>
      <c r="C20" s="204">
        <v>6128408</v>
      </c>
      <c r="D20" s="204">
        <v>1233710.76</v>
      </c>
      <c r="E20" s="204">
        <v>957470</v>
      </c>
      <c r="F20" s="132">
        <f t="shared" si="0"/>
        <v>0.28851113873019524</v>
      </c>
      <c r="G20" s="215">
        <f t="shared" si="1"/>
        <v>0.20131015428476695</v>
      </c>
      <c r="H20" s="123"/>
    </row>
    <row r="21" spans="1:8" ht="15" thickBot="1">
      <c r="A21" s="133"/>
      <c r="B21" s="134"/>
      <c r="C21" s="204"/>
      <c r="D21" s="204"/>
      <c r="E21" s="204"/>
      <c r="F21" s="132"/>
      <c r="G21" s="215"/>
      <c r="H21" s="123"/>
    </row>
    <row r="22" spans="1:8" ht="16.5" thickBot="1" thickTop="1">
      <c r="A22" s="135" t="s">
        <v>14</v>
      </c>
      <c r="B22" s="136"/>
      <c r="C22" s="201">
        <f>SUM(C9:C21)</f>
        <v>75831247.1</v>
      </c>
      <c r="D22" s="201">
        <f>SUM(D9:D21)</f>
        <v>15107556.64</v>
      </c>
      <c r="E22" s="201">
        <f>SUM(E9:E21)</f>
        <v>12358438.21</v>
      </c>
      <c r="F22" s="137">
        <f>(+D22-E22)/E22</f>
        <v>0.22244869321558064</v>
      </c>
      <c r="G22" s="212">
        <f>D22/C22</f>
        <v>0.1992260079816095</v>
      </c>
      <c r="H22" s="123"/>
    </row>
    <row r="23" spans="1:8" ht="15.75" customHeight="1" thickTop="1">
      <c r="A23" s="138"/>
      <c r="B23" s="139"/>
      <c r="C23" s="205"/>
      <c r="D23" s="205"/>
      <c r="E23" s="205"/>
      <c r="F23" s="140"/>
      <c r="G23" s="216"/>
      <c r="H23" s="123"/>
    </row>
    <row r="24" spans="1:8" ht="15">
      <c r="A24" s="19" t="s">
        <v>15</v>
      </c>
      <c r="B24" s="131">
        <f>DATE(2015,7,1)</f>
        <v>42186</v>
      </c>
      <c r="C24" s="204">
        <v>2478172</v>
      </c>
      <c r="D24" s="204">
        <v>519910.5</v>
      </c>
      <c r="E24" s="204">
        <v>648014.25</v>
      </c>
      <c r="F24" s="132">
        <f aca="true" t="shared" si="2" ref="F24:F35">(+D24-E24)/E24</f>
        <v>-0.19768662494690512</v>
      </c>
      <c r="G24" s="215">
        <f aca="true" t="shared" si="3" ref="G24:G35">D24/C24</f>
        <v>0.20979597057831337</v>
      </c>
      <c r="H24" s="123"/>
    </row>
    <row r="25" spans="1:8" ht="15">
      <c r="A25" s="19"/>
      <c r="B25" s="131">
        <f>DATE(2015,8,1)</f>
        <v>42217</v>
      </c>
      <c r="C25" s="204">
        <v>2725066</v>
      </c>
      <c r="D25" s="204">
        <v>415029.5</v>
      </c>
      <c r="E25" s="204">
        <v>536234.5</v>
      </c>
      <c r="F25" s="132">
        <f t="shared" si="2"/>
        <v>-0.22602984328684558</v>
      </c>
      <c r="G25" s="215">
        <f t="shared" si="3"/>
        <v>0.15230071491846436</v>
      </c>
      <c r="H25" s="123"/>
    </row>
    <row r="26" spans="1:8" ht="15">
      <c r="A26" s="19"/>
      <c r="B26" s="131">
        <f>DATE(2015,9,1)</f>
        <v>42248</v>
      </c>
      <c r="C26" s="204">
        <v>2471872.5</v>
      </c>
      <c r="D26" s="204">
        <v>537265</v>
      </c>
      <c r="E26" s="204">
        <v>586348.01</v>
      </c>
      <c r="F26" s="132">
        <f t="shared" si="2"/>
        <v>-0.08370968974551479</v>
      </c>
      <c r="G26" s="215">
        <f t="shared" si="3"/>
        <v>0.21735142083582384</v>
      </c>
      <c r="H26" s="123"/>
    </row>
    <row r="27" spans="1:8" ht="15">
      <c r="A27" s="19"/>
      <c r="B27" s="131">
        <f>DATE(2015,10,1)</f>
        <v>42278</v>
      </c>
      <c r="C27" s="204">
        <v>2669401</v>
      </c>
      <c r="D27" s="204">
        <v>434631.5</v>
      </c>
      <c r="E27" s="204">
        <v>579096</v>
      </c>
      <c r="F27" s="132">
        <f t="shared" si="2"/>
        <v>-0.24946554629974996</v>
      </c>
      <c r="G27" s="215">
        <f t="shared" si="3"/>
        <v>0.16281986108494004</v>
      </c>
      <c r="H27" s="123"/>
    </row>
    <row r="28" spans="1:8" ht="15">
      <c r="A28" s="19"/>
      <c r="B28" s="131">
        <f>DATE(2015,11,1)</f>
        <v>42309</v>
      </c>
      <c r="C28" s="204">
        <v>2660520</v>
      </c>
      <c r="D28" s="204">
        <v>548707.5</v>
      </c>
      <c r="E28" s="204">
        <v>520588</v>
      </c>
      <c r="F28" s="132">
        <f t="shared" si="2"/>
        <v>0.05401488317056866</v>
      </c>
      <c r="G28" s="215">
        <f t="shared" si="3"/>
        <v>0.2062406973072933</v>
      </c>
      <c r="H28" s="123"/>
    </row>
    <row r="29" spans="1:8" ht="15">
      <c r="A29" s="19"/>
      <c r="B29" s="131">
        <f>DATE(2015,12,1)</f>
        <v>42339</v>
      </c>
      <c r="C29" s="204">
        <v>2603344</v>
      </c>
      <c r="D29" s="204">
        <v>598426.5</v>
      </c>
      <c r="E29" s="204">
        <v>544994.5</v>
      </c>
      <c r="F29" s="132">
        <f t="shared" si="2"/>
        <v>0.09804135638066072</v>
      </c>
      <c r="G29" s="215">
        <f t="shared" si="3"/>
        <v>0.22986839234461523</v>
      </c>
      <c r="H29" s="123"/>
    </row>
    <row r="30" spans="1:8" ht="15">
      <c r="A30" s="19"/>
      <c r="B30" s="131">
        <f>DATE(2016,1,1)</f>
        <v>42370</v>
      </c>
      <c r="C30" s="204">
        <v>2545123</v>
      </c>
      <c r="D30" s="204">
        <v>496164</v>
      </c>
      <c r="E30" s="204">
        <v>499607</v>
      </c>
      <c r="F30" s="132">
        <f t="shared" si="2"/>
        <v>-0.006891416653489643</v>
      </c>
      <c r="G30" s="215">
        <f t="shared" si="3"/>
        <v>0.19494696327053743</v>
      </c>
      <c r="H30" s="123"/>
    </row>
    <row r="31" spans="1:8" ht="15">
      <c r="A31" s="19"/>
      <c r="B31" s="131">
        <f>DATE(2016,2,1)</f>
        <v>42401</v>
      </c>
      <c r="C31" s="204">
        <v>2904960</v>
      </c>
      <c r="D31" s="204">
        <v>543783</v>
      </c>
      <c r="E31" s="204">
        <v>475515</v>
      </c>
      <c r="F31" s="132">
        <f t="shared" si="2"/>
        <v>0.14356644900791773</v>
      </c>
      <c r="G31" s="215">
        <f t="shared" si="3"/>
        <v>0.18719121777924652</v>
      </c>
      <c r="H31" s="123"/>
    </row>
    <row r="32" spans="1:8" ht="15">
      <c r="A32" s="19"/>
      <c r="B32" s="131">
        <f>DATE(2016,3,1)</f>
        <v>42430</v>
      </c>
      <c r="C32" s="204">
        <v>2952958</v>
      </c>
      <c r="D32" s="204">
        <v>666872.5</v>
      </c>
      <c r="E32" s="204">
        <v>703830.5</v>
      </c>
      <c r="F32" s="132">
        <f t="shared" si="2"/>
        <v>-0.05250980172072679</v>
      </c>
      <c r="G32" s="215">
        <f t="shared" si="3"/>
        <v>0.22583203012030648</v>
      </c>
      <c r="H32" s="123"/>
    </row>
    <row r="33" spans="1:8" ht="15">
      <c r="A33" s="19"/>
      <c r="B33" s="131">
        <f>DATE(2016,4,1)</f>
        <v>42461</v>
      </c>
      <c r="C33" s="204">
        <v>2656138</v>
      </c>
      <c r="D33" s="204">
        <v>550011.5</v>
      </c>
      <c r="E33" s="204">
        <v>416059.5</v>
      </c>
      <c r="F33" s="132">
        <f t="shared" si="2"/>
        <v>0.3219539512978312</v>
      </c>
      <c r="G33" s="215">
        <f t="shared" si="3"/>
        <v>0.20707188406626462</v>
      </c>
      <c r="H33" s="123"/>
    </row>
    <row r="34" spans="1:8" ht="15">
      <c r="A34" s="19"/>
      <c r="B34" s="131">
        <f>DATE(2016,5,1)</f>
        <v>42491</v>
      </c>
      <c r="C34" s="204">
        <v>2597713</v>
      </c>
      <c r="D34" s="204">
        <v>515844</v>
      </c>
      <c r="E34" s="204">
        <v>659950.5</v>
      </c>
      <c r="F34" s="132">
        <f t="shared" si="2"/>
        <v>-0.2183595587850907</v>
      </c>
      <c r="G34" s="215">
        <f t="shared" si="3"/>
        <v>0.19857620915012553</v>
      </c>
      <c r="H34" s="123"/>
    </row>
    <row r="35" spans="1:8" ht="15">
      <c r="A35" s="19"/>
      <c r="B35" s="131">
        <f>DATE(2016,6,1)</f>
        <v>42522</v>
      </c>
      <c r="C35" s="204">
        <v>2337867</v>
      </c>
      <c r="D35" s="204">
        <v>470656</v>
      </c>
      <c r="E35" s="204">
        <v>474557</v>
      </c>
      <c r="F35" s="132">
        <f t="shared" si="2"/>
        <v>-0.008220298088533095</v>
      </c>
      <c r="G35" s="215">
        <f t="shared" si="3"/>
        <v>0.20131855233852053</v>
      </c>
      <c r="H35" s="123"/>
    </row>
    <row r="36" spans="1:8" ht="15" thickBot="1">
      <c r="A36" s="133"/>
      <c r="B36" s="131"/>
      <c r="C36" s="204"/>
      <c r="D36" s="204"/>
      <c r="E36" s="204"/>
      <c r="F36" s="132"/>
      <c r="G36" s="215"/>
      <c r="H36" s="123"/>
    </row>
    <row r="37" spans="1:8" ht="16.5" thickBot="1" thickTop="1">
      <c r="A37" s="135" t="s">
        <v>14</v>
      </c>
      <c r="B37" s="136"/>
      <c r="C37" s="201">
        <f>SUM(C24:C36)</f>
        <v>31603134.5</v>
      </c>
      <c r="D37" s="201">
        <f>SUM(D24:D36)</f>
        <v>6297301.5</v>
      </c>
      <c r="E37" s="201">
        <f>SUM(E24:E36)</f>
        <v>6644794.76</v>
      </c>
      <c r="F37" s="137">
        <f>(+D37-E37)/E37</f>
        <v>-0.052295559539599655</v>
      </c>
      <c r="G37" s="212">
        <f>D37/C37</f>
        <v>0.1992619276420192</v>
      </c>
      <c r="H37" s="123"/>
    </row>
    <row r="38" spans="1:8" ht="15.75" customHeight="1" thickTop="1">
      <c r="A38" s="255"/>
      <c r="B38" s="139"/>
      <c r="C38" s="205"/>
      <c r="D38" s="205"/>
      <c r="E38" s="205"/>
      <c r="F38" s="140"/>
      <c r="G38" s="219"/>
      <c r="H38" s="123"/>
    </row>
    <row r="39" spans="1:8" ht="15">
      <c r="A39" s="19" t="s">
        <v>56</v>
      </c>
      <c r="B39" s="131">
        <f>DATE(2015,7,1)</f>
        <v>42186</v>
      </c>
      <c r="C39" s="204">
        <v>1336768</v>
      </c>
      <c r="D39" s="204">
        <v>301036</v>
      </c>
      <c r="E39" s="204">
        <v>269057.5</v>
      </c>
      <c r="F39" s="132">
        <f aca="true" t="shared" si="4" ref="F39:F50">(+D39-E39)/E39</f>
        <v>0.11885377660908913</v>
      </c>
      <c r="G39" s="215">
        <f aca="true" t="shared" si="5" ref="G39:G50">D39/C39</f>
        <v>0.22519689280413654</v>
      </c>
      <c r="H39" s="123"/>
    </row>
    <row r="40" spans="1:8" ht="15">
      <c r="A40" s="19"/>
      <c r="B40" s="131">
        <f>DATE(2015,8,1)</f>
        <v>42217</v>
      </c>
      <c r="C40" s="204">
        <v>1267637</v>
      </c>
      <c r="D40" s="204">
        <v>259067</v>
      </c>
      <c r="E40" s="204">
        <v>293428.5</v>
      </c>
      <c r="F40" s="132">
        <f t="shared" si="4"/>
        <v>-0.11710348517611616</v>
      </c>
      <c r="G40" s="215">
        <f t="shared" si="5"/>
        <v>0.2043700207551531</v>
      </c>
      <c r="H40" s="123"/>
    </row>
    <row r="41" spans="1:8" ht="15">
      <c r="A41" s="19"/>
      <c r="B41" s="131">
        <f>DATE(2015,9,1)</f>
        <v>42248</v>
      </c>
      <c r="C41" s="204">
        <v>1318819</v>
      </c>
      <c r="D41" s="204">
        <v>252068</v>
      </c>
      <c r="E41" s="204">
        <v>281304</v>
      </c>
      <c r="F41" s="132">
        <f t="shared" si="4"/>
        <v>-0.10393026761084094</v>
      </c>
      <c r="G41" s="215">
        <f t="shared" si="5"/>
        <v>0.19113161093372177</v>
      </c>
      <c r="H41" s="123"/>
    </row>
    <row r="42" spans="1:8" ht="15">
      <c r="A42" s="19"/>
      <c r="B42" s="131">
        <f>DATE(2015,10,1)</f>
        <v>42278</v>
      </c>
      <c r="C42" s="204">
        <v>1241076</v>
      </c>
      <c r="D42" s="204">
        <v>326686.5</v>
      </c>
      <c r="E42" s="204">
        <v>223101</v>
      </c>
      <c r="F42" s="132">
        <f t="shared" si="4"/>
        <v>0.4642986808665134</v>
      </c>
      <c r="G42" s="215">
        <f t="shared" si="5"/>
        <v>0.26322844048229116</v>
      </c>
      <c r="H42" s="123"/>
    </row>
    <row r="43" spans="1:8" ht="15">
      <c r="A43" s="19"/>
      <c r="B43" s="131">
        <f>DATE(2015,11,1)</f>
        <v>42309</v>
      </c>
      <c r="C43" s="204">
        <v>1173793</v>
      </c>
      <c r="D43" s="204">
        <v>266876.5</v>
      </c>
      <c r="E43" s="204">
        <v>243735</v>
      </c>
      <c r="F43" s="132">
        <f t="shared" si="4"/>
        <v>0.09494532996902373</v>
      </c>
      <c r="G43" s="215">
        <f t="shared" si="5"/>
        <v>0.22736249066061903</v>
      </c>
      <c r="H43" s="123"/>
    </row>
    <row r="44" spans="1:8" ht="15">
      <c r="A44" s="19"/>
      <c r="B44" s="131">
        <f>DATE(2015,12,1)</f>
        <v>42339</v>
      </c>
      <c r="C44" s="204">
        <v>1319749</v>
      </c>
      <c r="D44" s="204">
        <v>336449.5</v>
      </c>
      <c r="E44" s="204">
        <v>287131.5</v>
      </c>
      <c r="F44" s="132">
        <f t="shared" si="4"/>
        <v>0.17176102238869648</v>
      </c>
      <c r="G44" s="215">
        <f t="shared" si="5"/>
        <v>0.2549344610225126</v>
      </c>
      <c r="H44" s="123"/>
    </row>
    <row r="45" spans="1:8" ht="15">
      <c r="A45" s="19"/>
      <c r="B45" s="131">
        <f>DATE(2016,1,1)</f>
        <v>42370</v>
      </c>
      <c r="C45" s="204">
        <v>1239902</v>
      </c>
      <c r="D45" s="204">
        <v>279744.5</v>
      </c>
      <c r="E45" s="204">
        <v>278030</v>
      </c>
      <c r="F45" s="132">
        <f t="shared" si="4"/>
        <v>0.006166600726540301</v>
      </c>
      <c r="G45" s="215">
        <f t="shared" si="5"/>
        <v>0.2256182343443272</v>
      </c>
      <c r="H45" s="123"/>
    </row>
    <row r="46" spans="1:8" ht="15">
      <c r="A46" s="19"/>
      <c r="B46" s="131">
        <f>DATE(2016,2,1)</f>
        <v>42401</v>
      </c>
      <c r="C46" s="204">
        <v>1485144</v>
      </c>
      <c r="D46" s="204">
        <v>393114</v>
      </c>
      <c r="E46" s="204">
        <v>316239.5</v>
      </c>
      <c r="F46" s="132">
        <f t="shared" si="4"/>
        <v>0.24308949388042922</v>
      </c>
      <c r="G46" s="215">
        <f t="shared" si="5"/>
        <v>0.26469756468059663</v>
      </c>
      <c r="H46" s="123"/>
    </row>
    <row r="47" spans="1:8" ht="15">
      <c r="A47" s="19"/>
      <c r="B47" s="131">
        <f>DATE(2016,3,1)</f>
        <v>42430</v>
      </c>
      <c r="C47" s="204">
        <v>1521138</v>
      </c>
      <c r="D47" s="204">
        <v>385901.5</v>
      </c>
      <c r="E47" s="204">
        <v>299330.5</v>
      </c>
      <c r="F47" s="132">
        <f t="shared" si="4"/>
        <v>0.2892154324400621</v>
      </c>
      <c r="G47" s="215">
        <f t="shared" si="5"/>
        <v>0.2536926301229737</v>
      </c>
      <c r="H47" s="123"/>
    </row>
    <row r="48" spans="1:8" ht="15">
      <c r="A48" s="19"/>
      <c r="B48" s="131">
        <f>DATE(2016,4,1)</f>
        <v>42461</v>
      </c>
      <c r="C48" s="204">
        <v>1399632</v>
      </c>
      <c r="D48" s="204">
        <v>363656.5</v>
      </c>
      <c r="E48" s="204">
        <v>322481.5</v>
      </c>
      <c r="F48" s="132">
        <f t="shared" si="4"/>
        <v>0.12768174298370605</v>
      </c>
      <c r="G48" s="215">
        <f t="shared" si="5"/>
        <v>0.25982293917258253</v>
      </c>
      <c r="H48" s="123"/>
    </row>
    <row r="49" spans="1:8" ht="15">
      <c r="A49" s="19"/>
      <c r="B49" s="131">
        <f>DATE(2016,5,1)</f>
        <v>42491</v>
      </c>
      <c r="C49" s="204">
        <v>1341985</v>
      </c>
      <c r="D49" s="204">
        <v>356031</v>
      </c>
      <c r="E49" s="204">
        <v>322685.5</v>
      </c>
      <c r="F49" s="132">
        <f t="shared" si="4"/>
        <v>0.10333746015857545</v>
      </c>
      <c r="G49" s="215">
        <f t="shared" si="5"/>
        <v>0.26530177311966974</v>
      </c>
      <c r="H49" s="123"/>
    </row>
    <row r="50" spans="1:8" ht="15">
      <c r="A50" s="19"/>
      <c r="B50" s="131">
        <f>DATE(2016,6,1)</f>
        <v>42522</v>
      </c>
      <c r="C50" s="204">
        <v>1177053</v>
      </c>
      <c r="D50" s="204">
        <v>282048</v>
      </c>
      <c r="E50" s="204">
        <v>308297</v>
      </c>
      <c r="F50" s="132">
        <f t="shared" si="4"/>
        <v>-0.08514192483222348</v>
      </c>
      <c r="G50" s="215">
        <f t="shared" si="5"/>
        <v>0.23962217504224534</v>
      </c>
      <c r="H50" s="123"/>
    </row>
    <row r="51" spans="1:8" ht="15" thickBot="1">
      <c r="A51" s="133"/>
      <c r="B51" s="131"/>
      <c r="C51" s="204"/>
      <c r="D51" s="204"/>
      <c r="E51" s="204"/>
      <c r="F51" s="132"/>
      <c r="G51" s="215"/>
      <c r="H51" s="123"/>
    </row>
    <row r="52" spans="1:8" ht="16.5" thickBot="1" thickTop="1">
      <c r="A52" s="141" t="s">
        <v>14</v>
      </c>
      <c r="B52" s="142"/>
      <c r="C52" s="206">
        <f>SUM(C39:C51)</f>
        <v>15822696</v>
      </c>
      <c r="D52" s="206">
        <f>SUM(D39:D51)</f>
        <v>3802679</v>
      </c>
      <c r="E52" s="206">
        <f>SUM(E39:E51)</f>
        <v>3444821.5</v>
      </c>
      <c r="F52" s="143">
        <f>(+D52-E52)/E52</f>
        <v>0.10388274109413216</v>
      </c>
      <c r="G52" s="217">
        <f>D52/C52</f>
        <v>0.24033066172793816</v>
      </c>
      <c r="H52" s="123"/>
    </row>
    <row r="53" spans="1:8" ht="15" thickTop="1">
      <c r="A53" s="133"/>
      <c r="B53" s="134"/>
      <c r="C53" s="204"/>
      <c r="D53" s="204"/>
      <c r="E53" s="204"/>
      <c r="F53" s="132"/>
      <c r="G53" s="218"/>
      <c r="H53" s="123"/>
    </row>
    <row r="54" spans="1:8" ht="15">
      <c r="A54" s="177" t="s">
        <v>65</v>
      </c>
      <c r="B54" s="131">
        <f>DATE(2015,7,1)</f>
        <v>42186</v>
      </c>
      <c r="C54" s="204">
        <v>14132212</v>
      </c>
      <c r="D54" s="204">
        <v>2897555.15</v>
      </c>
      <c r="E54" s="204">
        <v>2863106.21</v>
      </c>
      <c r="F54" s="132">
        <f aca="true" t="shared" si="6" ref="F54:F65">(+D54-E54)/E54</f>
        <v>0.012032016094855226</v>
      </c>
      <c r="G54" s="215">
        <f aca="true" t="shared" si="7" ref="G54:G65">D54/C54</f>
        <v>0.2050319617339451</v>
      </c>
      <c r="H54" s="123"/>
    </row>
    <row r="55" spans="1:8" ht="15">
      <c r="A55" s="177"/>
      <c r="B55" s="131">
        <f>DATE(2015,8,1)</f>
        <v>42217</v>
      </c>
      <c r="C55" s="204">
        <v>13874808</v>
      </c>
      <c r="D55" s="204">
        <v>3306098.47</v>
      </c>
      <c r="E55" s="204">
        <v>1916626.25</v>
      </c>
      <c r="F55" s="132">
        <f t="shared" si="6"/>
        <v>0.7249573149694679</v>
      </c>
      <c r="G55" s="215">
        <f t="shared" si="7"/>
        <v>0.23828066449640242</v>
      </c>
      <c r="H55" s="123"/>
    </row>
    <row r="56" spans="1:8" ht="15">
      <c r="A56" s="177"/>
      <c r="B56" s="131">
        <f>DATE(2015,9,1)</f>
        <v>42248</v>
      </c>
      <c r="C56" s="204">
        <v>13295493.05</v>
      </c>
      <c r="D56" s="204">
        <v>2474055.15</v>
      </c>
      <c r="E56" s="204">
        <v>1773873.21</v>
      </c>
      <c r="F56" s="132">
        <f t="shared" si="6"/>
        <v>0.39471927083221464</v>
      </c>
      <c r="G56" s="215">
        <f t="shared" si="7"/>
        <v>0.18608224160592524</v>
      </c>
      <c r="H56" s="123"/>
    </row>
    <row r="57" spans="1:8" ht="15">
      <c r="A57" s="177"/>
      <c r="B57" s="131">
        <f>DATE(2015,10,1)</f>
        <v>42278</v>
      </c>
      <c r="C57" s="204">
        <v>12941446</v>
      </c>
      <c r="D57" s="204">
        <v>2556172.52</v>
      </c>
      <c r="E57" s="204">
        <v>2542192.75</v>
      </c>
      <c r="F57" s="132">
        <f t="shared" si="6"/>
        <v>0.005499099153673544</v>
      </c>
      <c r="G57" s="215">
        <f t="shared" si="7"/>
        <v>0.19751830823232583</v>
      </c>
      <c r="H57" s="123"/>
    </row>
    <row r="58" spans="1:8" ht="15">
      <c r="A58" s="177"/>
      <c r="B58" s="131">
        <f>DATE(2015,11,1)</f>
        <v>42309</v>
      </c>
      <c r="C58" s="204">
        <v>12488505</v>
      </c>
      <c r="D58" s="204">
        <v>2606503.44</v>
      </c>
      <c r="E58" s="204">
        <v>2296283.49</v>
      </c>
      <c r="F58" s="132">
        <f t="shared" si="6"/>
        <v>0.13509653810209632</v>
      </c>
      <c r="G58" s="215">
        <f t="shared" si="7"/>
        <v>0.20871220694550707</v>
      </c>
      <c r="H58" s="123"/>
    </row>
    <row r="59" spans="1:8" ht="15">
      <c r="A59" s="177"/>
      <c r="B59" s="131">
        <f>DATE(2015,12,1)</f>
        <v>42339</v>
      </c>
      <c r="C59" s="204">
        <v>13142365</v>
      </c>
      <c r="D59" s="204">
        <v>2728645.94</v>
      </c>
      <c r="E59" s="204">
        <v>2110126.12</v>
      </c>
      <c r="F59" s="132">
        <f t="shared" si="6"/>
        <v>0.29311983494142985</v>
      </c>
      <c r="G59" s="215">
        <f t="shared" si="7"/>
        <v>0.20762213954642106</v>
      </c>
      <c r="H59" s="123"/>
    </row>
    <row r="60" spans="1:8" ht="15">
      <c r="A60" s="177"/>
      <c r="B60" s="131">
        <f>DATE(2016,1,1)</f>
        <v>42370</v>
      </c>
      <c r="C60" s="204">
        <v>12624103</v>
      </c>
      <c r="D60" s="204">
        <v>2649258.09</v>
      </c>
      <c r="E60" s="204">
        <v>2228063.78</v>
      </c>
      <c r="F60" s="132">
        <f t="shared" si="6"/>
        <v>0.18904050852619672</v>
      </c>
      <c r="G60" s="215">
        <f t="shared" si="7"/>
        <v>0.20985713519606106</v>
      </c>
      <c r="H60" s="123"/>
    </row>
    <row r="61" spans="1:8" ht="15">
      <c r="A61" s="177"/>
      <c r="B61" s="131">
        <f>DATE(2016,2,1)</f>
        <v>42401</v>
      </c>
      <c r="C61" s="204">
        <v>13131638</v>
      </c>
      <c r="D61" s="204">
        <v>2562260.46</v>
      </c>
      <c r="E61" s="204">
        <v>2355352.29</v>
      </c>
      <c r="F61" s="132">
        <f t="shared" si="6"/>
        <v>0.08784595445804837</v>
      </c>
      <c r="G61" s="215">
        <f t="shared" si="7"/>
        <v>0.1951211615793856</v>
      </c>
      <c r="H61" s="123"/>
    </row>
    <row r="62" spans="1:8" ht="15">
      <c r="A62" s="177"/>
      <c r="B62" s="131">
        <f>DATE(2016,3,1)</f>
        <v>42430</v>
      </c>
      <c r="C62" s="204">
        <v>15406097</v>
      </c>
      <c r="D62" s="204">
        <v>3519659.5</v>
      </c>
      <c r="E62" s="204">
        <v>2566916.93</v>
      </c>
      <c r="F62" s="132">
        <f t="shared" si="6"/>
        <v>0.37116221365215735</v>
      </c>
      <c r="G62" s="215">
        <f t="shared" si="7"/>
        <v>0.22845886923858783</v>
      </c>
      <c r="H62" s="123"/>
    </row>
    <row r="63" spans="1:8" ht="15">
      <c r="A63" s="177"/>
      <c r="B63" s="131">
        <f>DATE(2016,4,1)</f>
        <v>42461</v>
      </c>
      <c r="C63" s="204">
        <v>13472405</v>
      </c>
      <c r="D63" s="204">
        <v>2235714.85</v>
      </c>
      <c r="E63" s="204">
        <v>2159199.64</v>
      </c>
      <c r="F63" s="132">
        <f t="shared" si="6"/>
        <v>0.035436838994656356</v>
      </c>
      <c r="G63" s="215">
        <f t="shared" si="7"/>
        <v>0.1659477168330376</v>
      </c>
      <c r="H63" s="123"/>
    </row>
    <row r="64" spans="1:8" ht="15">
      <c r="A64" s="177"/>
      <c r="B64" s="131">
        <f>DATE(2016,5,1)</f>
        <v>42491</v>
      </c>
      <c r="C64" s="204">
        <v>14195612</v>
      </c>
      <c r="D64" s="204">
        <v>2322124.25</v>
      </c>
      <c r="E64" s="204">
        <v>2208897.88</v>
      </c>
      <c r="F64" s="132">
        <f t="shared" si="6"/>
        <v>0.05125921439156803</v>
      </c>
      <c r="G64" s="215">
        <f t="shared" si="7"/>
        <v>0.16358042541596657</v>
      </c>
      <c r="H64" s="123"/>
    </row>
    <row r="65" spans="1:8" ht="15">
      <c r="A65" s="177"/>
      <c r="B65" s="131">
        <f>DATE(2016,6,1)</f>
        <v>42522</v>
      </c>
      <c r="C65" s="204">
        <v>13176913</v>
      </c>
      <c r="D65" s="204">
        <v>2572572.5</v>
      </c>
      <c r="E65" s="204">
        <v>2298606.44</v>
      </c>
      <c r="F65" s="132">
        <f t="shared" si="6"/>
        <v>0.11918789368744659</v>
      </c>
      <c r="G65" s="215">
        <f t="shared" si="7"/>
        <v>0.1952333220990379</v>
      </c>
      <c r="H65" s="123"/>
    </row>
    <row r="66" spans="1:8" ht="15.75" customHeight="1" thickBot="1">
      <c r="A66" s="133"/>
      <c r="B66" s="134"/>
      <c r="C66" s="204"/>
      <c r="D66" s="204"/>
      <c r="E66" s="204"/>
      <c r="F66" s="132"/>
      <c r="G66" s="215"/>
      <c r="H66" s="123"/>
    </row>
    <row r="67" spans="1:8" ht="17.25" customHeight="1" thickBot="1" thickTop="1">
      <c r="A67" s="141" t="s">
        <v>14</v>
      </c>
      <c r="B67" s="142"/>
      <c r="C67" s="206">
        <f>SUM(C54:C66)</f>
        <v>161881597.05</v>
      </c>
      <c r="D67" s="206">
        <f>SUM(D54:D66)</f>
        <v>32430620.32</v>
      </c>
      <c r="E67" s="206">
        <f>SUM(E54:E66)</f>
        <v>27319244.990000002</v>
      </c>
      <c r="F67" s="143">
        <f>(+D67-E67)/E67</f>
        <v>0.1870979718462563</v>
      </c>
      <c r="G67" s="217">
        <f>D67/C67</f>
        <v>0.20033543596671602</v>
      </c>
      <c r="H67" s="123"/>
    </row>
    <row r="68" spans="1:8" ht="15.75" customHeight="1" thickTop="1">
      <c r="A68" s="133"/>
      <c r="B68" s="134"/>
      <c r="C68" s="204"/>
      <c r="D68" s="204"/>
      <c r="E68" s="204"/>
      <c r="F68" s="132"/>
      <c r="G68" s="218"/>
      <c r="H68" s="123"/>
    </row>
    <row r="69" spans="1:8" ht="15" customHeight="1">
      <c r="A69" s="130" t="s">
        <v>39</v>
      </c>
      <c r="B69" s="131">
        <f>DATE(2015,7,1)</f>
        <v>42186</v>
      </c>
      <c r="C69" s="204">
        <v>15713660</v>
      </c>
      <c r="D69" s="204">
        <v>2761556.5</v>
      </c>
      <c r="E69" s="204">
        <v>3102423</v>
      </c>
      <c r="F69" s="132">
        <f aca="true" t="shared" si="8" ref="F69:F80">(+D69-E69)/E69</f>
        <v>-0.10987105884658539</v>
      </c>
      <c r="G69" s="215">
        <f aca="true" t="shared" si="9" ref="G69:G80">D69/C69</f>
        <v>0.17574241137965313</v>
      </c>
      <c r="H69" s="123"/>
    </row>
    <row r="70" spans="1:8" ht="15" customHeight="1">
      <c r="A70" s="130"/>
      <c r="B70" s="131">
        <f>DATE(2015,8,1)</f>
        <v>42217</v>
      </c>
      <c r="C70" s="204">
        <v>14749601</v>
      </c>
      <c r="D70" s="204">
        <v>3308273</v>
      </c>
      <c r="E70" s="204">
        <v>2663132</v>
      </c>
      <c r="F70" s="132">
        <f t="shared" si="8"/>
        <v>0.24224897601771148</v>
      </c>
      <c r="G70" s="215">
        <f t="shared" si="9"/>
        <v>0.22429576230570575</v>
      </c>
      <c r="H70" s="123"/>
    </row>
    <row r="71" spans="1:8" ht="15" customHeight="1">
      <c r="A71" s="130"/>
      <c r="B71" s="131">
        <f>DATE(2015,9,1)</f>
        <v>42248</v>
      </c>
      <c r="C71" s="204">
        <v>14704020</v>
      </c>
      <c r="D71" s="204">
        <v>2544186.5</v>
      </c>
      <c r="E71" s="204">
        <v>3098933.5</v>
      </c>
      <c r="F71" s="132">
        <f t="shared" si="8"/>
        <v>-0.17901223114339176</v>
      </c>
      <c r="G71" s="215">
        <f t="shared" si="9"/>
        <v>0.1730265940878753</v>
      </c>
      <c r="H71" s="123"/>
    </row>
    <row r="72" spans="1:8" ht="15" customHeight="1">
      <c r="A72" s="130"/>
      <c r="B72" s="131">
        <f>DATE(2015,10,1)</f>
        <v>42278</v>
      </c>
      <c r="C72" s="204">
        <v>16854785</v>
      </c>
      <c r="D72" s="204">
        <v>4526715.5</v>
      </c>
      <c r="E72" s="204">
        <v>3451515</v>
      </c>
      <c r="F72" s="132">
        <f t="shared" si="8"/>
        <v>0.31151552289356993</v>
      </c>
      <c r="G72" s="215">
        <f t="shared" si="9"/>
        <v>0.2685715362136034</v>
      </c>
      <c r="H72" s="123"/>
    </row>
    <row r="73" spans="1:8" ht="15" customHeight="1">
      <c r="A73" s="130"/>
      <c r="B73" s="131">
        <f>DATE(2015,11,1)</f>
        <v>42309</v>
      </c>
      <c r="C73" s="204">
        <v>15060807</v>
      </c>
      <c r="D73" s="204">
        <v>2850434</v>
      </c>
      <c r="E73" s="204">
        <v>3402957</v>
      </c>
      <c r="F73" s="132">
        <f t="shared" si="8"/>
        <v>-0.16236555442810474</v>
      </c>
      <c r="G73" s="215">
        <f t="shared" si="9"/>
        <v>0.1892617042366986</v>
      </c>
      <c r="H73" s="123"/>
    </row>
    <row r="74" spans="1:8" ht="15" customHeight="1">
      <c r="A74" s="130"/>
      <c r="B74" s="131">
        <f>DATE(2015,12,1)</f>
        <v>42339</v>
      </c>
      <c r="C74" s="204">
        <v>15320088</v>
      </c>
      <c r="D74" s="204">
        <v>4176629.5</v>
      </c>
      <c r="E74" s="204">
        <v>3550964.5</v>
      </c>
      <c r="F74" s="132">
        <f t="shared" si="8"/>
        <v>0.17619579131247298</v>
      </c>
      <c r="G74" s="215">
        <f t="shared" si="9"/>
        <v>0.27262438048658727</v>
      </c>
      <c r="H74" s="123"/>
    </row>
    <row r="75" spans="1:8" ht="15" customHeight="1">
      <c r="A75" s="130"/>
      <c r="B75" s="131">
        <f>DATE(2016,1,1)</f>
        <v>42370</v>
      </c>
      <c r="C75" s="204">
        <v>14025557</v>
      </c>
      <c r="D75" s="204">
        <v>3525773</v>
      </c>
      <c r="E75" s="204">
        <v>2878007.5</v>
      </c>
      <c r="F75" s="132">
        <f t="shared" si="8"/>
        <v>0.22507429184948266</v>
      </c>
      <c r="G75" s="215">
        <f t="shared" si="9"/>
        <v>0.2513820306744324</v>
      </c>
      <c r="H75" s="123"/>
    </row>
    <row r="76" spans="1:8" ht="15" customHeight="1">
      <c r="A76" s="130"/>
      <c r="B76" s="131">
        <f>DATE(2016,2,1)</f>
        <v>42401</v>
      </c>
      <c r="C76" s="204">
        <v>14086402</v>
      </c>
      <c r="D76" s="204">
        <v>3299547.5</v>
      </c>
      <c r="E76" s="204">
        <v>2961573</v>
      </c>
      <c r="F76" s="132">
        <f t="shared" si="8"/>
        <v>0.11411992883511567</v>
      </c>
      <c r="G76" s="215">
        <f t="shared" si="9"/>
        <v>0.2342363578719392</v>
      </c>
      <c r="H76" s="123"/>
    </row>
    <row r="77" spans="1:8" ht="15" customHeight="1">
      <c r="A77" s="130"/>
      <c r="B77" s="131">
        <f>DATE(2016,3,1)</f>
        <v>42430</v>
      </c>
      <c r="C77" s="204">
        <v>15406035.01</v>
      </c>
      <c r="D77" s="204">
        <v>3432448.51</v>
      </c>
      <c r="E77" s="204">
        <v>3940140.5</v>
      </c>
      <c r="F77" s="132">
        <f t="shared" si="8"/>
        <v>-0.12885124020323646</v>
      </c>
      <c r="G77" s="215">
        <f t="shared" si="9"/>
        <v>0.22279895558928758</v>
      </c>
      <c r="H77" s="123"/>
    </row>
    <row r="78" spans="1:8" ht="15" customHeight="1">
      <c r="A78" s="130"/>
      <c r="B78" s="131">
        <f>DATE(2016,4,1)</f>
        <v>42461</v>
      </c>
      <c r="C78" s="204">
        <v>15268052</v>
      </c>
      <c r="D78" s="204">
        <v>3437951</v>
      </c>
      <c r="E78" s="204">
        <v>3204032.99</v>
      </c>
      <c r="F78" s="132">
        <f t="shared" si="8"/>
        <v>0.07300736625686234</v>
      </c>
      <c r="G78" s="215">
        <f t="shared" si="9"/>
        <v>0.22517286422655622</v>
      </c>
      <c r="H78" s="123"/>
    </row>
    <row r="79" spans="1:8" ht="15" customHeight="1">
      <c r="A79" s="130"/>
      <c r="B79" s="131">
        <f>DATE(2016,5,1)</f>
        <v>42491</v>
      </c>
      <c r="C79" s="204">
        <v>14998140</v>
      </c>
      <c r="D79" s="204">
        <v>3605857.5</v>
      </c>
      <c r="E79" s="204">
        <v>3418006.25</v>
      </c>
      <c r="F79" s="132">
        <f t="shared" si="8"/>
        <v>0.054959305589332964</v>
      </c>
      <c r="G79" s="215">
        <f t="shared" si="9"/>
        <v>0.2404203121187027</v>
      </c>
      <c r="H79" s="123"/>
    </row>
    <row r="80" spans="1:8" ht="15" customHeight="1">
      <c r="A80" s="130"/>
      <c r="B80" s="131">
        <f>DATE(2016,6,1)</f>
        <v>42522</v>
      </c>
      <c r="C80" s="204">
        <v>13529786</v>
      </c>
      <c r="D80" s="204">
        <v>2667211</v>
      </c>
      <c r="E80" s="204">
        <v>2902907.5</v>
      </c>
      <c r="F80" s="132">
        <f t="shared" si="8"/>
        <v>-0.08119325193792774</v>
      </c>
      <c r="G80" s="215">
        <f t="shared" si="9"/>
        <v>0.19713622964916075</v>
      </c>
      <c r="H80" s="123"/>
    </row>
    <row r="81" spans="1:8" ht="15" thickBot="1">
      <c r="A81" s="133"/>
      <c r="B81" s="131"/>
      <c r="C81" s="204"/>
      <c r="D81" s="204"/>
      <c r="E81" s="204"/>
      <c r="F81" s="132"/>
      <c r="G81" s="215"/>
      <c r="H81" s="123"/>
    </row>
    <row r="82" spans="1:8" ht="17.25" customHeight="1" thickBot="1" thickTop="1">
      <c r="A82" s="141" t="s">
        <v>14</v>
      </c>
      <c r="B82" s="142"/>
      <c r="C82" s="207">
        <f>SUM(C69:C81)</f>
        <v>179716933.01</v>
      </c>
      <c r="D82" s="261">
        <f>SUM(D69:D81)</f>
        <v>40136583.51</v>
      </c>
      <c r="E82" s="206">
        <f>SUM(E69:E81)</f>
        <v>38574592.74</v>
      </c>
      <c r="F82" s="268">
        <f>(+D82-E82)/E82</f>
        <v>0.040492735218958936</v>
      </c>
      <c r="G82" s="267">
        <f>D82/C82</f>
        <v>0.2233322305125621</v>
      </c>
      <c r="H82" s="123"/>
    </row>
    <row r="83" spans="1:8" ht="15.75" customHeight="1" thickTop="1">
      <c r="A83" s="130"/>
      <c r="B83" s="134"/>
      <c r="C83" s="204"/>
      <c r="D83" s="204"/>
      <c r="E83" s="204"/>
      <c r="F83" s="132"/>
      <c r="G83" s="218"/>
      <c r="H83" s="123"/>
    </row>
    <row r="84" spans="1:8" ht="15">
      <c r="A84" s="130" t="s">
        <v>66</v>
      </c>
      <c r="B84" s="131">
        <f>DATE(2015,7,1)</f>
        <v>42186</v>
      </c>
      <c r="C84" s="204">
        <v>3285911</v>
      </c>
      <c r="D84" s="204">
        <v>392173.5</v>
      </c>
      <c r="E84" s="204">
        <v>735730.5</v>
      </c>
      <c r="F84" s="132">
        <f aca="true" t="shared" si="10" ref="F84:F95">(+D84-E84)/E84</f>
        <v>-0.4669603883487228</v>
      </c>
      <c r="G84" s="215">
        <f aca="true" t="shared" si="11" ref="G84:G95">D84/C84</f>
        <v>0.11935000674090078</v>
      </c>
      <c r="H84" s="123"/>
    </row>
    <row r="85" spans="1:8" ht="15">
      <c r="A85" s="130"/>
      <c r="B85" s="131">
        <f>DATE(2015,8,1)</f>
        <v>42217</v>
      </c>
      <c r="C85" s="204">
        <v>3046199</v>
      </c>
      <c r="D85" s="204">
        <v>784885.5</v>
      </c>
      <c r="E85" s="204">
        <v>727825</v>
      </c>
      <c r="F85" s="132">
        <f t="shared" si="10"/>
        <v>0.07839865352248136</v>
      </c>
      <c r="G85" s="215">
        <f t="shared" si="11"/>
        <v>0.25766061245506283</v>
      </c>
      <c r="H85" s="123"/>
    </row>
    <row r="86" spans="1:8" ht="15">
      <c r="A86" s="130"/>
      <c r="B86" s="131">
        <f>DATE(2015,9,1)</f>
        <v>42248</v>
      </c>
      <c r="C86" s="204">
        <v>2625164</v>
      </c>
      <c r="D86" s="204">
        <v>483089.12</v>
      </c>
      <c r="E86" s="204">
        <v>570839</v>
      </c>
      <c r="F86" s="132">
        <f t="shared" si="10"/>
        <v>-0.15372089152983592</v>
      </c>
      <c r="G86" s="215">
        <f t="shared" si="11"/>
        <v>0.18402245345433657</v>
      </c>
      <c r="H86" s="123"/>
    </row>
    <row r="87" spans="1:8" ht="15">
      <c r="A87" s="130"/>
      <c r="B87" s="131">
        <f>DATE(2015,10,1)</f>
        <v>42278</v>
      </c>
      <c r="C87" s="204">
        <v>2686218</v>
      </c>
      <c r="D87" s="204">
        <v>705886</v>
      </c>
      <c r="E87" s="204">
        <v>661480</v>
      </c>
      <c r="F87" s="132">
        <f t="shared" si="10"/>
        <v>0.06713128136905122</v>
      </c>
      <c r="G87" s="215">
        <f t="shared" si="11"/>
        <v>0.2627806082752777</v>
      </c>
      <c r="H87" s="123"/>
    </row>
    <row r="88" spans="1:8" ht="15">
      <c r="A88" s="130"/>
      <c r="B88" s="131">
        <f>DATE(2015,11,1)</f>
        <v>42309</v>
      </c>
      <c r="C88" s="204">
        <v>2735790</v>
      </c>
      <c r="D88" s="204">
        <v>654151.5</v>
      </c>
      <c r="E88" s="204">
        <v>551813.5</v>
      </c>
      <c r="F88" s="132">
        <f t="shared" si="10"/>
        <v>0.1854575866665096</v>
      </c>
      <c r="G88" s="215">
        <f t="shared" si="11"/>
        <v>0.23910881317644994</v>
      </c>
      <c r="H88" s="123"/>
    </row>
    <row r="89" spans="1:8" ht="15">
      <c r="A89" s="130"/>
      <c r="B89" s="131">
        <f>DATE(2015,12,1)</f>
        <v>42339</v>
      </c>
      <c r="C89" s="204">
        <v>2998703</v>
      </c>
      <c r="D89" s="204">
        <v>705628</v>
      </c>
      <c r="E89" s="204">
        <v>613540.5</v>
      </c>
      <c r="F89" s="132">
        <f t="shared" si="10"/>
        <v>0.15009196621901896</v>
      </c>
      <c r="G89" s="215">
        <f t="shared" si="11"/>
        <v>0.23531106615093259</v>
      </c>
      <c r="H89" s="123"/>
    </row>
    <row r="90" spans="1:8" ht="15">
      <c r="A90" s="130"/>
      <c r="B90" s="131">
        <f>DATE(2016,1,1)</f>
        <v>42370</v>
      </c>
      <c r="C90" s="204">
        <v>2808941</v>
      </c>
      <c r="D90" s="204">
        <v>543673</v>
      </c>
      <c r="E90" s="204">
        <v>634906</v>
      </c>
      <c r="F90" s="132">
        <f t="shared" si="10"/>
        <v>-0.14369528717636942</v>
      </c>
      <c r="G90" s="215">
        <f t="shared" si="11"/>
        <v>0.1935508791391489</v>
      </c>
      <c r="H90" s="123"/>
    </row>
    <row r="91" spans="1:8" ht="15">
      <c r="A91" s="130"/>
      <c r="B91" s="131">
        <f>DATE(2016,2,1)</f>
        <v>42401</v>
      </c>
      <c r="C91" s="204">
        <v>3471430</v>
      </c>
      <c r="D91" s="204">
        <v>666915</v>
      </c>
      <c r="E91" s="204">
        <v>617008.5</v>
      </c>
      <c r="F91" s="132">
        <f t="shared" si="10"/>
        <v>0.08088462314538616</v>
      </c>
      <c r="G91" s="215">
        <f t="shared" si="11"/>
        <v>0.19211535303894936</v>
      </c>
      <c r="H91" s="123"/>
    </row>
    <row r="92" spans="1:8" ht="15">
      <c r="A92" s="130"/>
      <c r="B92" s="131">
        <f>DATE(2016,3,1)</f>
        <v>42430</v>
      </c>
      <c r="C92" s="204">
        <v>3514218</v>
      </c>
      <c r="D92" s="204">
        <v>584194.5</v>
      </c>
      <c r="E92" s="204">
        <v>700495.5</v>
      </c>
      <c r="F92" s="132">
        <f t="shared" si="10"/>
        <v>-0.16602676248455558</v>
      </c>
      <c r="G92" s="215">
        <f t="shared" si="11"/>
        <v>0.16623741042815215</v>
      </c>
      <c r="H92" s="123"/>
    </row>
    <row r="93" spans="1:8" ht="15">
      <c r="A93" s="130"/>
      <c r="B93" s="131">
        <f>DATE(2016,4,1)</f>
        <v>42461</v>
      </c>
      <c r="C93" s="204">
        <v>2922521</v>
      </c>
      <c r="D93" s="204">
        <v>618874.5</v>
      </c>
      <c r="E93" s="204">
        <v>605288</v>
      </c>
      <c r="F93" s="132">
        <f t="shared" si="10"/>
        <v>0.022446339593714067</v>
      </c>
      <c r="G93" s="215">
        <f t="shared" si="11"/>
        <v>0.21176049718718873</v>
      </c>
      <c r="H93" s="123"/>
    </row>
    <row r="94" spans="1:8" ht="15">
      <c r="A94" s="130"/>
      <c r="B94" s="131">
        <f>DATE(2016,5,1)</f>
        <v>42491</v>
      </c>
      <c r="C94" s="204">
        <v>2787236</v>
      </c>
      <c r="D94" s="204">
        <v>616576</v>
      </c>
      <c r="E94" s="204">
        <v>641385.02</v>
      </c>
      <c r="F94" s="132">
        <f t="shared" si="10"/>
        <v>-0.03868038576890994</v>
      </c>
      <c r="G94" s="215">
        <f t="shared" si="11"/>
        <v>0.22121413471984433</v>
      </c>
      <c r="H94" s="123"/>
    </row>
    <row r="95" spans="1:8" ht="15">
      <c r="A95" s="130"/>
      <c r="B95" s="131">
        <f>DATE(2016,6,1)</f>
        <v>42522</v>
      </c>
      <c r="C95" s="204">
        <v>2421047</v>
      </c>
      <c r="D95" s="204">
        <v>469313.5</v>
      </c>
      <c r="E95" s="204">
        <v>389967</v>
      </c>
      <c r="F95" s="132">
        <f t="shared" si="10"/>
        <v>0.2034697807763221</v>
      </c>
      <c r="G95" s="215">
        <f t="shared" si="11"/>
        <v>0.1938473313405316</v>
      </c>
      <c r="H95" s="123"/>
    </row>
    <row r="96" spans="1:8" ht="15.75" customHeight="1" thickBot="1">
      <c r="A96" s="130"/>
      <c r="B96" s="131"/>
      <c r="C96" s="204"/>
      <c r="D96" s="204"/>
      <c r="E96" s="204"/>
      <c r="F96" s="132"/>
      <c r="G96" s="215"/>
      <c r="H96" s="123"/>
    </row>
    <row r="97" spans="1:8" ht="16.5" thickBot="1" thickTop="1">
      <c r="A97" s="141" t="s">
        <v>14</v>
      </c>
      <c r="B97" s="142"/>
      <c r="C97" s="207">
        <f>SUM(C84:C96)</f>
        <v>35303378</v>
      </c>
      <c r="D97" s="261">
        <f>SUM(D84:D96)</f>
        <v>7225360.12</v>
      </c>
      <c r="E97" s="207">
        <f>SUM(E84:E96)</f>
        <v>7450278.52</v>
      </c>
      <c r="F97" s="268">
        <f>(+D97-E97)/E97</f>
        <v>-0.030189260629144836</v>
      </c>
      <c r="G97" s="267">
        <f>D97/C97</f>
        <v>0.20466483745549788</v>
      </c>
      <c r="H97" s="123"/>
    </row>
    <row r="98" spans="1:8" ht="15.75" customHeight="1" thickTop="1">
      <c r="A98" s="130"/>
      <c r="B98" s="134"/>
      <c r="C98" s="204"/>
      <c r="D98" s="204"/>
      <c r="E98" s="204"/>
      <c r="F98" s="132"/>
      <c r="G98" s="218"/>
      <c r="H98" s="123"/>
    </row>
    <row r="99" spans="1:8" ht="15">
      <c r="A99" s="130" t="s">
        <v>17</v>
      </c>
      <c r="B99" s="131">
        <f>DATE(2015,7,1)</f>
        <v>42186</v>
      </c>
      <c r="C99" s="204">
        <v>1966583.1</v>
      </c>
      <c r="D99" s="204">
        <v>467437.6</v>
      </c>
      <c r="E99" s="204">
        <v>301337.75</v>
      </c>
      <c r="F99" s="132">
        <f aca="true" t="shared" si="12" ref="F99:F110">(+D99-E99)/E99</f>
        <v>0.5512082372686462</v>
      </c>
      <c r="G99" s="215">
        <f aca="true" t="shared" si="13" ref="G99:G110">D99/C99</f>
        <v>0.23769023541390139</v>
      </c>
      <c r="H99" s="123"/>
    </row>
    <row r="100" spans="1:8" ht="15">
      <c r="A100" s="130"/>
      <c r="B100" s="131">
        <f>DATE(2015,8,1)</f>
        <v>42217</v>
      </c>
      <c r="C100" s="204">
        <v>1732068</v>
      </c>
      <c r="D100" s="204">
        <v>413705.5</v>
      </c>
      <c r="E100" s="204">
        <v>367412.51</v>
      </c>
      <c r="F100" s="132">
        <f t="shared" si="12"/>
        <v>0.12599731566026423</v>
      </c>
      <c r="G100" s="215">
        <f t="shared" si="13"/>
        <v>0.23885061094599058</v>
      </c>
      <c r="H100" s="123"/>
    </row>
    <row r="101" spans="1:8" ht="15">
      <c r="A101" s="130"/>
      <c r="B101" s="131">
        <f>DATE(2015,9,1)</f>
        <v>42248</v>
      </c>
      <c r="C101" s="204">
        <v>1651415.5</v>
      </c>
      <c r="D101" s="204">
        <v>370127.5</v>
      </c>
      <c r="E101" s="204">
        <v>473348.25</v>
      </c>
      <c r="F101" s="132">
        <f t="shared" si="12"/>
        <v>-0.21806513491916363</v>
      </c>
      <c r="G101" s="215">
        <f t="shared" si="13"/>
        <v>0.22412742280788814</v>
      </c>
      <c r="H101" s="123"/>
    </row>
    <row r="102" spans="1:8" ht="15">
      <c r="A102" s="130"/>
      <c r="B102" s="131">
        <f>DATE(2015,10,1)</f>
        <v>42278</v>
      </c>
      <c r="C102" s="204">
        <v>1663855</v>
      </c>
      <c r="D102" s="204">
        <v>339797.5</v>
      </c>
      <c r="E102" s="204">
        <v>303884.6</v>
      </c>
      <c r="F102" s="132">
        <f t="shared" si="12"/>
        <v>0.11817940099629934</v>
      </c>
      <c r="G102" s="215">
        <f t="shared" si="13"/>
        <v>0.2042230242418961</v>
      </c>
      <c r="H102" s="123"/>
    </row>
    <row r="103" spans="1:8" ht="15">
      <c r="A103" s="130"/>
      <c r="B103" s="131">
        <f>DATE(2015,11,1)</f>
        <v>42309</v>
      </c>
      <c r="C103" s="204">
        <v>1654439.05</v>
      </c>
      <c r="D103" s="204">
        <v>385671.05</v>
      </c>
      <c r="E103" s="204">
        <v>299669.5</v>
      </c>
      <c r="F103" s="132">
        <f t="shared" si="12"/>
        <v>0.2869879984449535</v>
      </c>
      <c r="G103" s="215">
        <f t="shared" si="13"/>
        <v>0.2331128789543501</v>
      </c>
      <c r="H103" s="123"/>
    </row>
    <row r="104" spans="1:8" ht="15">
      <c r="A104" s="130"/>
      <c r="B104" s="131">
        <f>DATE(2015,12,1)</f>
        <v>42339</v>
      </c>
      <c r="C104" s="204">
        <v>1604107</v>
      </c>
      <c r="D104" s="204">
        <v>388818</v>
      </c>
      <c r="E104" s="204">
        <v>221697.7</v>
      </c>
      <c r="F104" s="132">
        <f t="shared" si="12"/>
        <v>0.7538206305252602</v>
      </c>
      <c r="G104" s="215">
        <f t="shared" si="13"/>
        <v>0.24238906756220127</v>
      </c>
      <c r="H104" s="123"/>
    </row>
    <row r="105" spans="1:8" ht="15">
      <c r="A105" s="130"/>
      <c r="B105" s="131">
        <f>DATE(2016,1,1)</f>
        <v>42370</v>
      </c>
      <c r="C105" s="204">
        <v>1710737.5</v>
      </c>
      <c r="D105" s="204">
        <v>338030</v>
      </c>
      <c r="E105" s="204">
        <v>267024.5</v>
      </c>
      <c r="F105" s="132">
        <f t="shared" si="12"/>
        <v>0.26591380191705255</v>
      </c>
      <c r="G105" s="215">
        <f t="shared" si="13"/>
        <v>0.1975931433080762</v>
      </c>
      <c r="H105" s="123"/>
    </row>
    <row r="106" spans="1:8" ht="15">
      <c r="A106" s="130"/>
      <c r="B106" s="131">
        <f>DATE(2016,2,1)</f>
        <v>42401</v>
      </c>
      <c r="C106" s="204">
        <v>1892535</v>
      </c>
      <c r="D106" s="204">
        <v>420224</v>
      </c>
      <c r="E106" s="204">
        <v>434098</v>
      </c>
      <c r="F106" s="132">
        <f t="shared" si="12"/>
        <v>-0.031960525042732287</v>
      </c>
      <c r="G106" s="215">
        <f t="shared" si="13"/>
        <v>0.2220429212669779</v>
      </c>
      <c r="H106" s="123"/>
    </row>
    <row r="107" spans="1:8" ht="15">
      <c r="A107" s="130"/>
      <c r="B107" s="131">
        <f>DATE(2016,3,1)</f>
        <v>42430</v>
      </c>
      <c r="C107" s="204">
        <v>2105192.5</v>
      </c>
      <c r="D107" s="204">
        <v>424355</v>
      </c>
      <c r="E107" s="204">
        <v>464649</v>
      </c>
      <c r="F107" s="132">
        <f t="shared" si="12"/>
        <v>-0.08671922246685132</v>
      </c>
      <c r="G107" s="215">
        <f t="shared" si="13"/>
        <v>0.20157539037403943</v>
      </c>
      <c r="H107" s="123"/>
    </row>
    <row r="108" spans="1:8" ht="15">
      <c r="A108" s="130"/>
      <c r="B108" s="131">
        <f>DATE(2016,4,1)</f>
        <v>42461</v>
      </c>
      <c r="C108" s="204">
        <v>2014596.5</v>
      </c>
      <c r="D108" s="204">
        <v>486308.5</v>
      </c>
      <c r="E108" s="204">
        <v>422907.25</v>
      </c>
      <c r="F108" s="132">
        <f t="shared" si="12"/>
        <v>0.14991762378157386</v>
      </c>
      <c r="G108" s="215">
        <f t="shared" si="13"/>
        <v>0.24139250713480342</v>
      </c>
      <c r="H108" s="123"/>
    </row>
    <row r="109" spans="1:8" ht="15">
      <c r="A109" s="130"/>
      <c r="B109" s="131">
        <f>DATE(2016,5,1)</f>
        <v>42491</v>
      </c>
      <c r="C109" s="204">
        <v>1871318</v>
      </c>
      <c r="D109" s="204">
        <v>452744.5</v>
      </c>
      <c r="E109" s="204">
        <v>340985.5</v>
      </c>
      <c r="F109" s="132">
        <f t="shared" si="12"/>
        <v>0.32775293964112845</v>
      </c>
      <c r="G109" s="215">
        <f t="shared" si="13"/>
        <v>0.24193883669157246</v>
      </c>
      <c r="H109" s="123"/>
    </row>
    <row r="110" spans="1:8" ht="15">
      <c r="A110" s="130"/>
      <c r="B110" s="131">
        <f>DATE(2016,6,1)</f>
        <v>42522</v>
      </c>
      <c r="C110" s="204">
        <v>1688145.5</v>
      </c>
      <c r="D110" s="204">
        <v>338952</v>
      </c>
      <c r="E110" s="204">
        <v>361747</v>
      </c>
      <c r="F110" s="132">
        <f t="shared" si="12"/>
        <v>-0.06301365318855442</v>
      </c>
      <c r="G110" s="215">
        <f t="shared" si="13"/>
        <v>0.20078364098355267</v>
      </c>
      <c r="H110" s="123"/>
    </row>
    <row r="111" spans="1:8" ht="15.75" customHeight="1" thickBot="1">
      <c r="A111" s="130"/>
      <c r="B111" s="131"/>
      <c r="C111" s="204"/>
      <c r="D111" s="204"/>
      <c r="E111" s="204"/>
      <c r="F111" s="132"/>
      <c r="G111" s="215"/>
      <c r="H111" s="123"/>
    </row>
    <row r="112" spans="1:8" ht="16.5" thickBot="1" thickTop="1">
      <c r="A112" s="141" t="s">
        <v>14</v>
      </c>
      <c r="B112" s="142"/>
      <c r="C112" s="207">
        <f>SUM(C99:C111)</f>
        <v>21554992.65</v>
      </c>
      <c r="D112" s="261">
        <f>SUM(D99:D111)</f>
        <v>4826171.15</v>
      </c>
      <c r="E112" s="207">
        <f>SUM(E99:E111)</f>
        <v>4258761.56</v>
      </c>
      <c r="F112" s="269">
        <f>(+D112-E112)/E112</f>
        <v>0.1332334722209714</v>
      </c>
      <c r="G112" s="267">
        <f>D112/C112</f>
        <v>0.2239003848604885</v>
      </c>
      <c r="H112" s="123"/>
    </row>
    <row r="113" spans="1:8" ht="15.75" customHeight="1" thickTop="1">
      <c r="A113" s="130"/>
      <c r="B113" s="139"/>
      <c r="C113" s="205"/>
      <c r="D113" s="205"/>
      <c r="E113" s="205"/>
      <c r="F113" s="140"/>
      <c r="G113" s="216"/>
      <c r="H113" s="123"/>
    </row>
    <row r="114" spans="1:8" ht="15">
      <c r="A114" s="130" t="s">
        <v>55</v>
      </c>
      <c r="B114" s="131">
        <f>DATE(2015,7,1)</f>
        <v>42186</v>
      </c>
      <c r="C114" s="204">
        <v>10971270</v>
      </c>
      <c r="D114" s="204">
        <v>2155194.5</v>
      </c>
      <c r="E114" s="204">
        <v>2162151.44</v>
      </c>
      <c r="F114" s="132">
        <f aca="true" t="shared" si="14" ref="F114:F125">(+D114-E114)/E114</f>
        <v>-0.003217600706081876</v>
      </c>
      <c r="G114" s="215">
        <f aca="true" t="shared" si="15" ref="G114:G125">D114/C114</f>
        <v>0.19643983786744834</v>
      </c>
      <c r="H114" s="123"/>
    </row>
    <row r="115" spans="1:8" ht="15">
      <c r="A115" s="130"/>
      <c r="B115" s="131">
        <f>DATE(2015,8,1)</f>
        <v>42217</v>
      </c>
      <c r="C115" s="204">
        <v>11760782</v>
      </c>
      <c r="D115" s="204">
        <v>1871026</v>
      </c>
      <c r="E115" s="204">
        <v>2638369.5</v>
      </c>
      <c r="F115" s="132">
        <f t="shared" si="14"/>
        <v>-0.29084004344349795</v>
      </c>
      <c r="G115" s="215">
        <f t="shared" si="15"/>
        <v>0.15909027137821277</v>
      </c>
      <c r="H115" s="123"/>
    </row>
    <row r="116" spans="1:8" ht="15">
      <c r="A116" s="130"/>
      <c r="B116" s="131">
        <f>DATE(2015,9,1)</f>
        <v>42248</v>
      </c>
      <c r="C116" s="204">
        <v>11270033</v>
      </c>
      <c r="D116" s="204">
        <v>1903429.82</v>
      </c>
      <c r="E116" s="204">
        <v>2375626.68</v>
      </c>
      <c r="F116" s="132">
        <f t="shared" si="14"/>
        <v>-0.19876728274494715</v>
      </c>
      <c r="G116" s="215">
        <f t="shared" si="15"/>
        <v>0.16889301211451643</v>
      </c>
      <c r="H116" s="123"/>
    </row>
    <row r="117" spans="1:8" ht="15">
      <c r="A117" s="130"/>
      <c r="B117" s="131">
        <f>DATE(2015,10,1)</f>
        <v>42278</v>
      </c>
      <c r="C117" s="204">
        <v>11909835</v>
      </c>
      <c r="D117" s="204">
        <v>2358646.99</v>
      </c>
      <c r="E117" s="204">
        <v>2426645.58</v>
      </c>
      <c r="F117" s="132">
        <f t="shared" si="14"/>
        <v>-0.028021640473760427</v>
      </c>
      <c r="G117" s="215">
        <f t="shared" si="15"/>
        <v>0.19804195356190915</v>
      </c>
      <c r="H117" s="123"/>
    </row>
    <row r="118" spans="1:8" ht="15">
      <c r="A118" s="130"/>
      <c r="B118" s="131">
        <f>DATE(2015,11,1)</f>
        <v>42309</v>
      </c>
      <c r="C118" s="204">
        <v>11952208</v>
      </c>
      <c r="D118" s="204">
        <v>2479916.3</v>
      </c>
      <c r="E118" s="204">
        <v>2399078.8</v>
      </c>
      <c r="F118" s="132">
        <f t="shared" si="14"/>
        <v>0.033695225017202436</v>
      </c>
      <c r="G118" s="215">
        <f t="shared" si="15"/>
        <v>0.20748603939958205</v>
      </c>
      <c r="H118" s="123"/>
    </row>
    <row r="119" spans="1:8" ht="15">
      <c r="A119" s="130"/>
      <c r="B119" s="131">
        <f>DATE(2015,12,1)</f>
        <v>42339</v>
      </c>
      <c r="C119" s="204">
        <v>11947984</v>
      </c>
      <c r="D119" s="204">
        <v>2581325.25</v>
      </c>
      <c r="E119" s="204">
        <v>1778216.99</v>
      </c>
      <c r="F119" s="132">
        <f t="shared" si="14"/>
        <v>0.4516368162695375</v>
      </c>
      <c r="G119" s="215">
        <f t="shared" si="15"/>
        <v>0.21604692892123056</v>
      </c>
      <c r="H119" s="123"/>
    </row>
    <row r="120" spans="1:8" ht="15">
      <c r="A120" s="130"/>
      <c r="B120" s="131">
        <f>DATE(2016,1,1)</f>
        <v>42370</v>
      </c>
      <c r="C120" s="204">
        <v>11260344</v>
      </c>
      <c r="D120" s="204">
        <v>2512978.71</v>
      </c>
      <c r="E120" s="204">
        <v>2098089.29</v>
      </c>
      <c r="F120" s="132">
        <f t="shared" si="14"/>
        <v>0.19774631231257078</v>
      </c>
      <c r="G120" s="215">
        <f t="shared" si="15"/>
        <v>0.22317068732536058</v>
      </c>
      <c r="H120" s="123"/>
    </row>
    <row r="121" spans="1:8" ht="15">
      <c r="A121" s="130"/>
      <c r="B121" s="131">
        <f>DATE(2016,2,1)</f>
        <v>42401</v>
      </c>
      <c r="C121" s="204">
        <v>11492121</v>
      </c>
      <c r="D121" s="204">
        <v>2283138.88</v>
      </c>
      <c r="E121" s="204">
        <v>2353284.36</v>
      </c>
      <c r="F121" s="132">
        <f t="shared" si="14"/>
        <v>-0.02980748148940232</v>
      </c>
      <c r="G121" s="215">
        <f t="shared" si="15"/>
        <v>0.19866993046801368</v>
      </c>
      <c r="H121" s="123"/>
    </row>
    <row r="122" spans="1:8" ht="15">
      <c r="A122" s="130"/>
      <c r="B122" s="131">
        <f>DATE(2016,3,1)</f>
        <v>42430</v>
      </c>
      <c r="C122" s="204">
        <v>12801775</v>
      </c>
      <c r="D122" s="204">
        <v>2885539.5</v>
      </c>
      <c r="E122" s="204">
        <v>2431528.27</v>
      </c>
      <c r="F122" s="132">
        <f t="shared" si="14"/>
        <v>0.186718466571643</v>
      </c>
      <c r="G122" s="215">
        <f t="shared" si="15"/>
        <v>0.2254015165865671</v>
      </c>
      <c r="H122" s="123"/>
    </row>
    <row r="123" spans="1:8" ht="15">
      <c r="A123" s="130"/>
      <c r="B123" s="131">
        <f>DATE(2016,4,1)</f>
        <v>42461</v>
      </c>
      <c r="C123" s="204">
        <v>13198138</v>
      </c>
      <c r="D123" s="204">
        <v>2815004.2</v>
      </c>
      <c r="E123" s="204">
        <v>1691859.72</v>
      </c>
      <c r="F123" s="132">
        <f t="shared" si="14"/>
        <v>0.663852012506096</v>
      </c>
      <c r="G123" s="215">
        <f t="shared" si="15"/>
        <v>0.21328798047118466</v>
      </c>
      <c r="H123" s="123"/>
    </row>
    <row r="124" spans="1:8" ht="15">
      <c r="A124" s="130"/>
      <c r="B124" s="131">
        <f>DATE(2016,5,1)</f>
        <v>42491</v>
      </c>
      <c r="C124" s="204">
        <v>12320357</v>
      </c>
      <c r="D124" s="204">
        <v>2202344.68</v>
      </c>
      <c r="E124" s="204">
        <v>2712738.42</v>
      </c>
      <c r="F124" s="132">
        <f t="shared" si="14"/>
        <v>-0.1881470532643541</v>
      </c>
      <c r="G124" s="215">
        <f t="shared" si="15"/>
        <v>0.17875656362879747</v>
      </c>
      <c r="H124" s="123"/>
    </row>
    <row r="125" spans="1:8" ht="15">
      <c r="A125" s="130"/>
      <c r="B125" s="131">
        <f>DATE(2016,6,1)</f>
        <v>42522</v>
      </c>
      <c r="C125" s="204">
        <v>11065001</v>
      </c>
      <c r="D125" s="204">
        <v>2660815.32</v>
      </c>
      <c r="E125" s="204">
        <v>2299522.11</v>
      </c>
      <c r="F125" s="132">
        <f t="shared" si="14"/>
        <v>0.15711664977206938</v>
      </c>
      <c r="G125" s="215">
        <f t="shared" si="15"/>
        <v>0.24047131310697575</v>
      </c>
      <c r="H125" s="123"/>
    </row>
    <row r="126" spans="1:8" ht="15.75" customHeight="1" thickBot="1">
      <c r="A126" s="130"/>
      <c r="B126" s="131"/>
      <c r="C126" s="204"/>
      <c r="D126" s="204"/>
      <c r="E126" s="204"/>
      <c r="F126" s="132"/>
      <c r="G126" s="215"/>
      <c r="H126" s="123"/>
    </row>
    <row r="127" spans="1:8" ht="16.5" thickBot="1" thickTop="1">
      <c r="A127" s="141" t="s">
        <v>14</v>
      </c>
      <c r="B127" s="142"/>
      <c r="C127" s="206">
        <f>SUM(C114:C126)</f>
        <v>141949848</v>
      </c>
      <c r="D127" s="206">
        <f>SUM(D114:D126)</f>
        <v>28709360.15</v>
      </c>
      <c r="E127" s="206">
        <f>SUM(E114:E126)</f>
        <v>27367111.159999996</v>
      </c>
      <c r="F127" s="143">
        <f>(+D127-E127)/E127</f>
        <v>0.04904606051229275</v>
      </c>
      <c r="G127" s="217">
        <f>D127/C127</f>
        <v>0.20225002389576352</v>
      </c>
      <c r="H127" s="123"/>
    </row>
    <row r="128" spans="1:8" ht="15.75" customHeight="1" thickTop="1">
      <c r="A128" s="138"/>
      <c r="B128" s="139"/>
      <c r="C128" s="205"/>
      <c r="D128" s="205"/>
      <c r="E128" s="205"/>
      <c r="F128" s="140"/>
      <c r="G128" s="216"/>
      <c r="H128" s="123"/>
    </row>
    <row r="129" spans="1:8" ht="15">
      <c r="A129" s="130" t="s">
        <v>18</v>
      </c>
      <c r="B129" s="131">
        <f>DATE(2015,7,1)</f>
        <v>42186</v>
      </c>
      <c r="C129" s="204">
        <v>10255459.01</v>
      </c>
      <c r="D129" s="204">
        <v>2314488.01</v>
      </c>
      <c r="E129" s="204">
        <v>1710881</v>
      </c>
      <c r="F129" s="132">
        <f aca="true" t="shared" si="16" ref="F129:F140">(+D129-E129)/E129</f>
        <v>0.3528047888777769</v>
      </c>
      <c r="G129" s="215">
        <f aca="true" t="shared" si="17" ref="G129:G140">D129/C129</f>
        <v>0.22568351233651898</v>
      </c>
      <c r="H129" s="123"/>
    </row>
    <row r="130" spans="1:8" ht="15">
      <c r="A130" s="130"/>
      <c r="B130" s="131">
        <f>DATE(2015,8,1)</f>
        <v>42217</v>
      </c>
      <c r="C130" s="204">
        <v>11925853</v>
      </c>
      <c r="D130" s="204">
        <v>2325485</v>
      </c>
      <c r="E130" s="204">
        <v>2016444</v>
      </c>
      <c r="F130" s="132">
        <f t="shared" si="16"/>
        <v>0.15326039304835642</v>
      </c>
      <c r="G130" s="215">
        <f t="shared" si="17"/>
        <v>0.19499527622887855</v>
      </c>
      <c r="H130" s="123"/>
    </row>
    <row r="131" spans="1:8" ht="15">
      <c r="A131" s="130"/>
      <c r="B131" s="131">
        <f>DATE(2015,9,1)</f>
        <v>42248</v>
      </c>
      <c r="C131" s="204">
        <v>10882982</v>
      </c>
      <c r="D131" s="204">
        <v>2224817.5</v>
      </c>
      <c r="E131" s="204">
        <v>1741477</v>
      </c>
      <c r="F131" s="132">
        <f t="shared" si="16"/>
        <v>0.2775463012144289</v>
      </c>
      <c r="G131" s="215">
        <f t="shared" si="17"/>
        <v>0.204430871979757</v>
      </c>
      <c r="H131" s="123"/>
    </row>
    <row r="132" spans="1:8" ht="15">
      <c r="A132" s="130"/>
      <c r="B132" s="131">
        <f>DATE(2015,10,1)</f>
        <v>42278</v>
      </c>
      <c r="C132" s="204">
        <v>10481328</v>
      </c>
      <c r="D132" s="204">
        <v>1970796.5</v>
      </c>
      <c r="E132" s="204">
        <v>2135188.5</v>
      </c>
      <c r="F132" s="132">
        <f t="shared" si="16"/>
        <v>-0.07699179721134691</v>
      </c>
      <c r="G132" s="215">
        <f t="shared" si="17"/>
        <v>0.1880292745346773</v>
      </c>
      <c r="H132" s="123"/>
    </row>
    <row r="133" spans="1:8" ht="15">
      <c r="A133" s="130"/>
      <c r="B133" s="131">
        <f>DATE(2015,11,1)</f>
        <v>42309</v>
      </c>
      <c r="C133" s="204">
        <v>9921826</v>
      </c>
      <c r="D133" s="204">
        <v>2324852.5</v>
      </c>
      <c r="E133" s="204">
        <v>2079297.5</v>
      </c>
      <c r="F133" s="132">
        <f t="shared" si="16"/>
        <v>0.11809517397101665</v>
      </c>
      <c r="G133" s="215">
        <f t="shared" si="17"/>
        <v>0.2343169997135608</v>
      </c>
      <c r="H133" s="123"/>
    </row>
    <row r="134" spans="1:8" ht="15">
      <c r="A134" s="130"/>
      <c r="B134" s="131">
        <f>DATE(2015,12,1)</f>
        <v>42339</v>
      </c>
      <c r="C134" s="204">
        <v>11475277</v>
      </c>
      <c r="D134" s="204">
        <v>2487495.5</v>
      </c>
      <c r="E134" s="204">
        <v>1998357.25</v>
      </c>
      <c r="F134" s="132">
        <f t="shared" si="16"/>
        <v>0.24477017310093077</v>
      </c>
      <c r="G134" s="215">
        <f t="shared" si="17"/>
        <v>0.21676997426728783</v>
      </c>
      <c r="H134" s="123"/>
    </row>
    <row r="135" spans="1:8" ht="15">
      <c r="A135" s="130"/>
      <c r="B135" s="131">
        <f>DATE(2016,1,1)</f>
        <v>42370</v>
      </c>
      <c r="C135" s="204">
        <v>10991014</v>
      </c>
      <c r="D135" s="204">
        <v>2020173.5</v>
      </c>
      <c r="E135" s="204">
        <v>2020720</v>
      </c>
      <c r="F135" s="132">
        <f t="shared" si="16"/>
        <v>-0.00027044815709252146</v>
      </c>
      <c r="G135" s="215">
        <f t="shared" si="17"/>
        <v>0.18380228612209937</v>
      </c>
      <c r="H135" s="123"/>
    </row>
    <row r="136" spans="1:8" ht="15">
      <c r="A136" s="130"/>
      <c r="B136" s="131">
        <f>DATE(2016,2,1)</f>
        <v>42401</v>
      </c>
      <c r="C136" s="204">
        <v>11576734.43</v>
      </c>
      <c r="D136" s="204">
        <v>2715195.93</v>
      </c>
      <c r="E136" s="204">
        <v>2216560</v>
      </c>
      <c r="F136" s="132">
        <f t="shared" si="16"/>
        <v>0.22495936496192306</v>
      </c>
      <c r="G136" s="215">
        <f t="shared" si="17"/>
        <v>0.23453901844408123</v>
      </c>
      <c r="H136" s="123"/>
    </row>
    <row r="137" spans="1:8" ht="15">
      <c r="A137" s="130"/>
      <c r="B137" s="131">
        <f>DATE(2016,3,1)</f>
        <v>42430</v>
      </c>
      <c r="C137" s="204">
        <v>11621203</v>
      </c>
      <c r="D137" s="204">
        <v>2703571.5</v>
      </c>
      <c r="E137" s="204">
        <v>2870936.5</v>
      </c>
      <c r="F137" s="132">
        <f t="shared" si="16"/>
        <v>-0.05829630853904292</v>
      </c>
      <c r="G137" s="215">
        <f t="shared" si="17"/>
        <v>0.23264127646681673</v>
      </c>
      <c r="H137" s="123"/>
    </row>
    <row r="138" spans="1:8" ht="15">
      <c r="A138" s="130"/>
      <c r="B138" s="131">
        <f>DATE(2016,4,1)</f>
        <v>42461</v>
      </c>
      <c r="C138" s="204">
        <v>12430647</v>
      </c>
      <c r="D138" s="204">
        <v>2557296.5</v>
      </c>
      <c r="E138" s="204">
        <v>2333617.5</v>
      </c>
      <c r="F138" s="132">
        <f t="shared" si="16"/>
        <v>0.09585075531872725</v>
      </c>
      <c r="G138" s="215">
        <f t="shared" si="17"/>
        <v>0.20572513240863488</v>
      </c>
      <c r="H138" s="123"/>
    </row>
    <row r="139" spans="1:8" ht="15">
      <c r="A139" s="130"/>
      <c r="B139" s="131">
        <f>DATE(2016,5,1)</f>
        <v>42491</v>
      </c>
      <c r="C139" s="204">
        <v>10633217</v>
      </c>
      <c r="D139" s="204">
        <v>2487641</v>
      </c>
      <c r="E139" s="204">
        <v>2325058.5</v>
      </c>
      <c r="F139" s="132">
        <f t="shared" si="16"/>
        <v>0.06992619755588945</v>
      </c>
      <c r="G139" s="215">
        <f t="shared" si="17"/>
        <v>0.23394998898263808</v>
      </c>
      <c r="H139" s="123"/>
    </row>
    <row r="140" spans="1:8" ht="15">
      <c r="A140" s="130"/>
      <c r="B140" s="131">
        <f>DATE(2016,6,1)</f>
        <v>42522</v>
      </c>
      <c r="C140" s="204">
        <v>9275887.5</v>
      </c>
      <c r="D140" s="204">
        <v>2264997</v>
      </c>
      <c r="E140" s="204">
        <v>2149133</v>
      </c>
      <c r="F140" s="132">
        <f t="shared" si="16"/>
        <v>0.05391197287464294</v>
      </c>
      <c r="G140" s="215">
        <f t="shared" si="17"/>
        <v>0.24418116325796319</v>
      </c>
      <c r="H140" s="123"/>
    </row>
    <row r="141" spans="1:8" ht="15.75" customHeight="1" thickBot="1">
      <c r="A141" s="130"/>
      <c r="B141" s="131"/>
      <c r="C141" s="204"/>
      <c r="D141" s="204"/>
      <c r="E141" s="204"/>
      <c r="F141" s="132"/>
      <c r="G141" s="215"/>
      <c r="H141" s="123"/>
    </row>
    <row r="142" spans="1:8" ht="16.5" thickBot="1" thickTop="1">
      <c r="A142" s="141" t="s">
        <v>14</v>
      </c>
      <c r="B142" s="142"/>
      <c r="C142" s="206">
        <f>SUM(C129:C141)</f>
        <v>131471427.94</v>
      </c>
      <c r="D142" s="206">
        <f>SUM(D129:D141)</f>
        <v>28396810.44</v>
      </c>
      <c r="E142" s="206">
        <f>SUM(E129:E141)</f>
        <v>25597670.75</v>
      </c>
      <c r="F142" s="143">
        <f>(+D142-E142)/E142</f>
        <v>0.10935134361785638</v>
      </c>
      <c r="G142" s="217">
        <f>D142/C142</f>
        <v>0.21599225691044854</v>
      </c>
      <c r="H142" s="123"/>
    </row>
    <row r="143" spans="1:8" ht="15.75" customHeight="1" thickTop="1">
      <c r="A143" s="138"/>
      <c r="B143" s="139"/>
      <c r="C143" s="205"/>
      <c r="D143" s="205"/>
      <c r="E143" s="205"/>
      <c r="F143" s="140"/>
      <c r="G143" s="216"/>
      <c r="H143" s="123"/>
    </row>
    <row r="144" spans="1:8" ht="15">
      <c r="A144" s="130" t="s">
        <v>58</v>
      </c>
      <c r="B144" s="131">
        <f>DATE(2015,7,1)</f>
        <v>42186</v>
      </c>
      <c r="C144" s="204">
        <v>10364978.5</v>
      </c>
      <c r="D144" s="204">
        <v>1806548.1</v>
      </c>
      <c r="E144" s="204">
        <v>1919455.5</v>
      </c>
      <c r="F144" s="132">
        <f aca="true" t="shared" si="18" ref="F144:F155">(+D144-E144)/E144</f>
        <v>-0.058822619227171406</v>
      </c>
      <c r="G144" s="215">
        <f aca="true" t="shared" si="19" ref="G144:G155">D144/C144</f>
        <v>0.17429347296764774</v>
      </c>
      <c r="H144" s="123"/>
    </row>
    <row r="145" spans="1:8" ht="15">
      <c r="A145" s="130"/>
      <c r="B145" s="131">
        <f>DATE(2015,8,1)</f>
        <v>42217</v>
      </c>
      <c r="C145" s="204">
        <v>10869439</v>
      </c>
      <c r="D145" s="204">
        <v>2221425.98</v>
      </c>
      <c r="E145" s="204">
        <v>1923950.5</v>
      </c>
      <c r="F145" s="132">
        <f t="shared" si="18"/>
        <v>0.15461701327554944</v>
      </c>
      <c r="G145" s="215">
        <f t="shared" si="19"/>
        <v>0.20437356334581758</v>
      </c>
      <c r="H145" s="123"/>
    </row>
    <row r="146" spans="1:8" ht="15">
      <c r="A146" s="130"/>
      <c r="B146" s="131">
        <f>DATE(2015,9,1)</f>
        <v>42248</v>
      </c>
      <c r="C146" s="204">
        <v>10687993</v>
      </c>
      <c r="D146" s="204">
        <v>1777682.35</v>
      </c>
      <c r="E146" s="204">
        <v>2150849.5</v>
      </c>
      <c r="F146" s="132">
        <f t="shared" si="18"/>
        <v>-0.17349756456693038</v>
      </c>
      <c r="G146" s="215">
        <f t="shared" si="19"/>
        <v>0.16632517910518843</v>
      </c>
      <c r="H146" s="123"/>
    </row>
    <row r="147" spans="1:8" ht="15">
      <c r="A147" s="130"/>
      <c r="B147" s="131">
        <f>DATE(2015,10,1)</f>
        <v>42278</v>
      </c>
      <c r="C147" s="204">
        <v>10719882</v>
      </c>
      <c r="D147" s="204">
        <v>2211803.04</v>
      </c>
      <c r="E147" s="204">
        <v>1663467.5</v>
      </c>
      <c r="F147" s="132">
        <f t="shared" si="18"/>
        <v>0.3296340565715892</v>
      </c>
      <c r="G147" s="215">
        <f t="shared" si="19"/>
        <v>0.20632718158651372</v>
      </c>
      <c r="H147" s="123"/>
    </row>
    <row r="148" spans="1:8" ht="15">
      <c r="A148" s="130"/>
      <c r="B148" s="131">
        <f>DATE(2015,11,1)</f>
        <v>42309</v>
      </c>
      <c r="C148" s="204">
        <v>10706643</v>
      </c>
      <c r="D148" s="204">
        <v>2406443.5</v>
      </c>
      <c r="E148" s="204">
        <v>1870760.5</v>
      </c>
      <c r="F148" s="132">
        <f t="shared" si="18"/>
        <v>0.2863450452369504</v>
      </c>
      <c r="G148" s="215">
        <f t="shared" si="19"/>
        <v>0.22476172036370318</v>
      </c>
      <c r="H148" s="123"/>
    </row>
    <row r="149" spans="1:8" ht="15">
      <c r="A149" s="130"/>
      <c r="B149" s="131">
        <f>DATE(2015,12,1)</f>
        <v>42339</v>
      </c>
      <c r="C149" s="204">
        <v>11021944.5</v>
      </c>
      <c r="D149" s="204">
        <v>1930182.68</v>
      </c>
      <c r="E149" s="204">
        <v>2246516</v>
      </c>
      <c r="F149" s="132">
        <f t="shared" si="18"/>
        <v>-0.14081062409526576</v>
      </c>
      <c r="G149" s="215">
        <f t="shared" si="19"/>
        <v>0.17512179271089598</v>
      </c>
      <c r="H149" s="123"/>
    </row>
    <row r="150" spans="1:8" ht="15">
      <c r="A150" s="130"/>
      <c r="B150" s="131">
        <f>DATE(2016,1,1)</f>
        <v>42370</v>
      </c>
      <c r="C150" s="204">
        <v>10762037</v>
      </c>
      <c r="D150" s="204">
        <v>1955162.91</v>
      </c>
      <c r="E150" s="204">
        <v>1836000</v>
      </c>
      <c r="F150" s="132">
        <f t="shared" si="18"/>
        <v>0.06490354575163394</v>
      </c>
      <c r="G150" s="215">
        <f t="shared" si="19"/>
        <v>0.18167219737304377</v>
      </c>
      <c r="H150" s="123"/>
    </row>
    <row r="151" spans="1:8" ht="15">
      <c r="A151" s="130"/>
      <c r="B151" s="131">
        <f>DATE(2016,2,1)</f>
        <v>42401</v>
      </c>
      <c r="C151" s="204">
        <v>10775390.5</v>
      </c>
      <c r="D151" s="204">
        <v>2091109.96</v>
      </c>
      <c r="E151" s="204">
        <v>1887418</v>
      </c>
      <c r="F151" s="132">
        <f t="shared" si="18"/>
        <v>0.10792095868535743</v>
      </c>
      <c r="G151" s="215">
        <f t="shared" si="19"/>
        <v>0.19406349681712232</v>
      </c>
      <c r="H151" s="123"/>
    </row>
    <row r="152" spans="1:8" ht="15">
      <c r="A152" s="130"/>
      <c r="B152" s="131">
        <f>DATE(2016,3,1)</f>
        <v>42430</v>
      </c>
      <c r="C152" s="204">
        <v>11478975</v>
      </c>
      <c r="D152" s="204">
        <v>2321418.91</v>
      </c>
      <c r="E152" s="204">
        <v>2022840</v>
      </c>
      <c r="F152" s="132">
        <f t="shared" si="18"/>
        <v>0.14760381938265021</v>
      </c>
      <c r="G152" s="215">
        <f t="shared" si="19"/>
        <v>0.20223224721719493</v>
      </c>
      <c r="H152" s="123"/>
    </row>
    <row r="153" spans="1:8" ht="15">
      <c r="A153" s="130"/>
      <c r="B153" s="131">
        <f>DATE(2016,4,1)</f>
        <v>42461</v>
      </c>
      <c r="C153" s="204">
        <v>10460541</v>
      </c>
      <c r="D153" s="204">
        <v>1777527.74</v>
      </c>
      <c r="E153" s="204">
        <v>2486436.5</v>
      </c>
      <c r="F153" s="132">
        <f t="shared" si="18"/>
        <v>-0.28511034164757476</v>
      </c>
      <c r="G153" s="215">
        <f t="shared" si="19"/>
        <v>0.16992694163714858</v>
      </c>
      <c r="H153" s="123"/>
    </row>
    <row r="154" spans="1:8" ht="15">
      <c r="A154" s="130"/>
      <c r="B154" s="131">
        <f>DATE(2016,5,1)</f>
        <v>42491</v>
      </c>
      <c r="C154" s="204">
        <v>10955187</v>
      </c>
      <c r="D154" s="204">
        <v>1936695.24</v>
      </c>
      <c r="E154" s="204">
        <v>2287316</v>
      </c>
      <c r="F154" s="132">
        <f t="shared" si="18"/>
        <v>-0.1532891651175439</v>
      </c>
      <c r="G154" s="215">
        <f t="shared" si="19"/>
        <v>0.17678340314957655</v>
      </c>
      <c r="H154" s="123"/>
    </row>
    <row r="155" spans="1:8" ht="15">
      <c r="A155" s="130"/>
      <c r="B155" s="131">
        <f>DATE(2016,6,1)</f>
        <v>42522</v>
      </c>
      <c r="C155" s="204">
        <v>10088193</v>
      </c>
      <c r="D155" s="204">
        <v>2189654.48</v>
      </c>
      <c r="E155" s="204">
        <v>1933884</v>
      </c>
      <c r="F155" s="132">
        <f t="shared" si="18"/>
        <v>0.13225740530455807</v>
      </c>
      <c r="G155" s="215">
        <f t="shared" si="19"/>
        <v>0.21705120827882654</v>
      </c>
      <c r="H155" s="123"/>
    </row>
    <row r="156" spans="1:8" ht="15" thickBot="1">
      <c r="A156" s="133"/>
      <c r="B156" s="131"/>
      <c r="C156" s="204"/>
      <c r="D156" s="204"/>
      <c r="E156" s="204"/>
      <c r="F156" s="132"/>
      <c r="G156" s="215"/>
      <c r="H156" s="123"/>
    </row>
    <row r="157" spans="1:8" ht="16.5" thickBot="1" thickTop="1">
      <c r="A157" s="141" t="s">
        <v>14</v>
      </c>
      <c r="B157" s="142"/>
      <c r="C157" s="207">
        <f>SUM(C144:C156)</f>
        <v>128891203.5</v>
      </c>
      <c r="D157" s="207">
        <f>SUM(D144:D156)</f>
        <v>24625654.889999997</v>
      </c>
      <c r="E157" s="207">
        <f>SUM(E144:E156)</f>
        <v>24228894</v>
      </c>
      <c r="F157" s="143">
        <f>(+D157-E157)/E157</f>
        <v>0.01637552626215612</v>
      </c>
      <c r="G157" s="267">
        <f>D157/C157</f>
        <v>0.19105768447572916</v>
      </c>
      <c r="H157" s="123"/>
    </row>
    <row r="158" spans="1:8" ht="15.75" customHeight="1" thickTop="1">
      <c r="A158" s="138"/>
      <c r="B158" s="139"/>
      <c r="C158" s="205"/>
      <c r="D158" s="205"/>
      <c r="E158" s="205"/>
      <c r="F158" s="140"/>
      <c r="G158" s="219"/>
      <c r="H158" s="123"/>
    </row>
    <row r="159" spans="1:8" ht="15">
      <c r="A159" s="130" t="s">
        <v>59</v>
      </c>
      <c r="B159" s="131">
        <f>DATE(2015,7,1)</f>
        <v>42186</v>
      </c>
      <c r="C159" s="204">
        <v>937598</v>
      </c>
      <c r="D159" s="204">
        <v>181510</v>
      </c>
      <c r="E159" s="204">
        <v>194050.5</v>
      </c>
      <c r="F159" s="132">
        <f aca="true" t="shared" si="20" ref="F159:F170">(+D159-E159)/E159</f>
        <v>-0.06462493010839962</v>
      </c>
      <c r="G159" s="215">
        <f aca="true" t="shared" si="21" ref="G159:G170">D159/C159</f>
        <v>0.1935904300137159</v>
      </c>
      <c r="H159" s="123"/>
    </row>
    <row r="160" spans="1:8" ht="15">
      <c r="A160" s="130"/>
      <c r="B160" s="131">
        <f>DATE(2015,8,1)</f>
        <v>42217</v>
      </c>
      <c r="C160" s="204">
        <v>928784</v>
      </c>
      <c r="D160" s="204">
        <v>193758</v>
      </c>
      <c r="E160" s="204">
        <v>244997</v>
      </c>
      <c r="F160" s="132">
        <f t="shared" si="20"/>
        <v>-0.20914133642452765</v>
      </c>
      <c r="G160" s="215">
        <f t="shared" si="21"/>
        <v>0.20861470481834313</v>
      </c>
      <c r="H160" s="123"/>
    </row>
    <row r="161" spans="1:8" ht="15">
      <c r="A161" s="130"/>
      <c r="B161" s="131">
        <f>DATE(2015,9,1)</f>
        <v>42248</v>
      </c>
      <c r="C161" s="204">
        <v>839785</v>
      </c>
      <c r="D161" s="204">
        <v>230949</v>
      </c>
      <c r="E161" s="204">
        <v>142249.5</v>
      </c>
      <c r="F161" s="132">
        <f t="shared" si="20"/>
        <v>0.6235487646705261</v>
      </c>
      <c r="G161" s="215">
        <f t="shared" si="21"/>
        <v>0.2750096750954113</v>
      </c>
      <c r="H161" s="123"/>
    </row>
    <row r="162" spans="1:8" ht="15">
      <c r="A162" s="130"/>
      <c r="B162" s="131">
        <f>DATE(2015,10,1)</f>
        <v>42278</v>
      </c>
      <c r="C162" s="204">
        <v>826625</v>
      </c>
      <c r="D162" s="204">
        <v>214385</v>
      </c>
      <c r="E162" s="204">
        <v>203528</v>
      </c>
      <c r="F162" s="132">
        <f t="shared" si="20"/>
        <v>0.05334401163476279</v>
      </c>
      <c r="G162" s="215">
        <f t="shared" si="21"/>
        <v>0.2593497656131861</v>
      </c>
      <c r="H162" s="123"/>
    </row>
    <row r="163" spans="1:8" ht="15">
      <c r="A163" s="130"/>
      <c r="B163" s="131">
        <f>DATE(2015,11,1)</f>
        <v>42309</v>
      </c>
      <c r="C163" s="204">
        <v>910906</v>
      </c>
      <c r="D163" s="204">
        <v>248410.5</v>
      </c>
      <c r="E163" s="204">
        <v>229154.5</v>
      </c>
      <c r="F163" s="132">
        <f t="shared" si="20"/>
        <v>0.0840306430814145</v>
      </c>
      <c r="G163" s="215">
        <f t="shared" si="21"/>
        <v>0.27270706307785875</v>
      </c>
      <c r="H163" s="123"/>
    </row>
    <row r="164" spans="1:8" ht="15">
      <c r="A164" s="130"/>
      <c r="B164" s="131">
        <f>DATE(2015,12,1)</f>
        <v>42339</v>
      </c>
      <c r="C164" s="204">
        <v>910415.5</v>
      </c>
      <c r="D164" s="204">
        <v>229747</v>
      </c>
      <c r="E164" s="204">
        <v>204682</v>
      </c>
      <c r="F164" s="132">
        <f t="shared" si="20"/>
        <v>0.1224582523133446</v>
      </c>
      <c r="G164" s="215">
        <f t="shared" si="21"/>
        <v>0.2523540075932363</v>
      </c>
      <c r="H164" s="123"/>
    </row>
    <row r="165" spans="1:8" ht="15">
      <c r="A165" s="130"/>
      <c r="B165" s="131">
        <f>DATE(2016,1,1)</f>
        <v>42370</v>
      </c>
      <c r="C165" s="204">
        <v>894566</v>
      </c>
      <c r="D165" s="204">
        <v>260312.5</v>
      </c>
      <c r="E165" s="204">
        <v>205359</v>
      </c>
      <c r="F165" s="132">
        <f t="shared" si="20"/>
        <v>0.2675972321641613</v>
      </c>
      <c r="G165" s="215">
        <f t="shared" si="21"/>
        <v>0.29099306255770957</v>
      </c>
      <c r="H165" s="123"/>
    </row>
    <row r="166" spans="1:8" ht="15">
      <c r="A166" s="130"/>
      <c r="B166" s="131">
        <f>DATE(2016,2,1)</f>
        <v>42401</v>
      </c>
      <c r="C166" s="204">
        <v>932887</v>
      </c>
      <c r="D166" s="204">
        <v>184023.5</v>
      </c>
      <c r="E166" s="204">
        <v>174316.5</v>
      </c>
      <c r="F166" s="132">
        <f t="shared" si="20"/>
        <v>0.05568606528928702</v>
      </c>
      <c r="G166" s="215">
        <f t="shared" si="21"/>
        <v>0.19726236939736538</v>
      </c>
      <c r="H166" s="123"/>
    </row>
    <row r="167" spans="1:8" ht="15">
      <c r="A167" s="130"/>
      <c r="B167" s="131">
        <f>DATE(2016,3,1)</f>
        <v>42430</v>
      </c>
      <c r="C167" s="204">
        <v>958882.5</v>
      </c>
      <c r="D167" s="204">
        <v>190391.5</v>
      </c>
      <c r="E167" s="204">
        <v>224042</v>
      </c>
      <c r="F167" s="132">
        <f t="shared" si="20"/>
        <v>-0.15019728443773936</v>
      </c>
      <c r="G167" s="215">
        <f t="shared" si="21"/>
        <v>0.19855561030678942</v>
      </c>
      <c r="H167" s="123"/>
    </row>
    <row r="168" spans="1:8" ht="15">
      <c r="A168" s="130"/>
      <c r="B168" s="131">
        <f>DATE(2016,4,1)</f>
        <v>42461</v>
      </c>
      <c r="C168" s="204">
        <v>1075421</v>
      </c>
      <c r="D168" s="204">
        <v>193578</v>
      </c>
      <c r="E168" s="204">
        <v>266395</v>
      </c>
      <c r="F168" s="132">
        <f t="shared" si="20"/>
        <v>-0.2733422173839599</v>
      </c>
      <c r="G168" s="215">
        <f t="shared" si="21"/>
        <v>0.18000206430783852</v>
      </c>
      <c r="H168" s="123"/>
    </row>
    <row r="169" spans="1:8" ht="15">
      <c r="A169" s="130"/>
      <c r="B169" s="131">
        <f>DATE(2016,5,1)</f>
        <v>42491</v>
      </c>
      <c r="C169" s="204">
        <v>987162</v>
      </c>
      <c r="D169" s="204">
        <v>234692</v>
      </c>
      <c r="E169" s="204">
        <v>261101.5</v>
      </c>
      <c r="F169" s="132">
        <f t="shared" si="20"/>
        <v>-0.10114648900906352</v>
      </c>
      <c r="G169" s="215">
        <f t="shared" si="21"/>
        <v>0.2377441595199167</v>
      </c>
      <c r="H169" s="123"/>
    </row>
    <row r="170" spans="1:8" ht="15">
      <c r="A170" s="130"/>
      <c r="B170" s="131">
        <f>DATE(2016,6,1)</f>
        <v>42522</v>
      </c>
      <c r="C170" s="204">
        <v>768951</v>
      </c>
      <c r="D170" s="204">
        <v>199222.5</v>
      </c>
      <c r="E170" s="204">
        <v>181475</v>
      </c>
      <c r="F170" s="132">
        <f t="shared" si="20"/>
        <v>0.09779583964733435</v>
      </c>
      <c r="G170" s="215">
        <f t="shared" si="21"/>
        <v>0.2590834786611891</v>
      </c>
      <c r="H170" s="123"/>
    </row>
    <row r="171" spans="1:8" ht="15" thickBot="1">
      <c r="A171" s="133"/>
      <c r="B171" s="134"/>
      <c r="C171" s="204"/>
      <c r="D171" s="204"/>
      <c r="E171" s="204"/>
      <c r="F171" s="132"/>
      <c r="G171" s="215"/>
      <c r="H171" s="123"/>
    </row>
    <row r="172" spans="1:8" ht="16.5" thickBot="1" thickTop="1">
      <c r="A172" s="144" t="s">
        <v>14</v>
      </c>
      <c r="B172" s="145"/>
      <c r="C172" s="207">
        <f>SUM(C159:C171)</f>
        <v>10971983</v>
      </c>
      <c r="D172" s="207">
        <f>SUM(D159:D171)</f>
        <v>2560979.5</v>
      </c>
      <c r="E172" s="207">
        <f>SUM(E159:E171)</f>
        <v>2531350.5</v>
      </c>
      <c r="F172" s="143">
        <f>(+D172-E172)/E172</f>
        <v>0.011704819225942832</v>
      </c>
      <c r="G172" s="217">
        <f>D172/C172</f>
        <v>0.23341081552897047</v>
      </c>
      <c r="H172" s="123"/>
    </row>
    <row r="173" spans="1:8" ht="15.75" customHeight="1" thickTop="1">
      <c r="A173" s="130"/>
      <c r="B173" s="134"/>
      <c r="C173" s="204"/>
      <c r="D173" s="204"/>
      <c r="E173" s="204"/>
      <c r="F173" s="132"/>
      <c r="G173" s="218"/>
      <c r="H173" s="123"/>
    </row>
    <row r="174" spans="1:8" ht="15">
      <c r="A174" s="130" t="s">
        <v>40</v>
      </c>
      <c r="B174" s="131">
        <f>DATE(2015,7,1)</f>
        <v>42186</v>
      </c>
      <c r="C174" s="204">
        <v>14243703</v>
      </c>
      <c r="D174" s="204">
        <v>2871650</v>
      </c>
      <c r="E174" s="204">
        <v>2630944</v>
      </c>
      <c r="F174" s="132">
        <f aca="true" t="shared" si="22" ref="F174:F185">(+D174-E174)/E174</f>
        <v>0.0914903547928044</v>
      </c>
      <c r="G174" s="215">
        <f aca="true" t="shared" si="23" ref="G174:G185">D174/C174</f>
        <v>0.20160838793114402</v>
      </c>
      <c r="H174" s="123"/>
    </row>
    <row r="175" spans="1:8" ht="15">
      <c r="A175" s="130"/>
      <c r="B175" s="131">
        <f>DATE(2015,8,1)</f>
        <v>42217</v>
      </c>
      <c r="C175" s="204">
        <v>14467050</v>
      </c>
      <c r="D175" s="204">
        <v>2483226.1</v>
      </c>
      <c r="E175" s="204">
        <v>2671558</v>
      </c>
      <c r="F175" s="132">
        <f t="shared" si="22"/>
        <v>-0.07049515675871529</v>
      </c>
      <c r="G175" s="215">
        <f t="shared" si="23"/>
        <v>0.1716470254820437</v>
      </c>
      <c r="H175" s="123"/>
    </row>
    <row r="176" spans="1:8" ht="15">
      <c r="A176" s="130"/>
      <c r="B176" s="131">
        <f>DATE(2015,9,1)</f>
        <v>42248</v>
      </c>
      <c r="C176" s="204">
        <v>13218111</v>
      </c>
      <c r="D176" s="204">
        <v>2251011.1</v>
      </c>
      <c r="E176" s="204">
        <v>2695451</v>
      </c>
      <c r="F176" s="132">
        <f t="shared" si="22"/>
        <v>-0.16488517134980377</v>
      </c>
      <c r="G176" s="215">
        <f t="shared" si="23"/>
        <v>0.1702974880450013</v>
      </c>
      <c r="H176" s="123"/>
    </row>
    <row r="177" spans="1:8" ht="15">
      <c r="A177" s="130"/>
      <c r="B177" s="131">
        <f>DATE(2015,10,1)</f>
        <v>42278</v>
      </c>
      <c r="C177" s="204">
        <v>14354332</v>
      </c>
      <c r="D177" s="204">
        <v>2924385.2</v>
      </c>
      <c r="E177" s="204">
        <v>2840403</v>
      </c>
      <c r="F177" s="132">
        <f t="shared" si="22"/>
        <v>0.029567001583930233</v>
      </c>
      <c r="G177" s="215">
        <f t="shared" si="23"/>
        <v>0.20372840756365396</v>
      </c>
      <c r="H177" s="123"/>
    </row>
    <row r="178" spans="1:8" ht="15">
      <c r="A178" s="130"/>
      <c r="B178" s="131">
        <f>DATE(2015,11,1)</f>
        <v>42309</v>
      </c>
      <c r="C178" s="204">
        <v>16270075.75</v>
      </c>
      <c r="D178" s="204">
        <v>2858924.75</v>
      </c>
      <c r="E178" s="204">
        <v>2781702</v>
      </c>
      <c r="F178" s="132">
        <f t="shared" si="22"/>
        <v>0.027760971520313822</v>
      </c>
      <c r="G178" s="215">
        <f t="shared" si="23"/>
        <v>0.1757167448959173</v>
      </c>
      <c r="H178" s="123"/>
    </row>
    <row r="179" spans="1:8" ht="15">
      <c r="A179" s="130"/>
      <c r="B179" s="131">
        <f>DATE(2015,12,1)</f>
        <v>42339</v>
      </c>
      <c r="C179" s="204">
        <v>15262222.5</v>
      </c>
      <c r="D179" s="204">
        <v>2963713.5</v>
      </c>
      <c r="E179" s="204">
        <v>2990638.5</v>
      </c>
      <c r="F179" s="132">
        <f t="shared" si="22"/>
        <v>-0.00900309415531165</v>
      </c>
      <c r="G179" s="215">
        <f t="shared" si="23"/>
        <v>0.1941862333614911</v>
      </c>
      <c r="H179" s="123"/>
    </row>
    <row r="180" spans="1:8" ht="15">
      <c r="A180" s="130"/>
      <c r="B180" s="131">
        <f>DATE(2016,1,1)</f>
        <v>42370</v>
      </c>
      <c r="C180" s="204">
        <v>14505597</v>
      </c>
      <c r="D180" s="204">
        <v>2954938</v>
      </c>
      <c r="E180" s="204">
        <v>2785863.5</v>
      </c>
      <c r="F180" s="132">
        <f t="shared" si="22"/>
        <v>0.06069015944248525</v>
      </c>
      <c r="G180" s="215">
        <f t="shared" si="23"/>
        <v>0.2037101954507629</v>
      </c>
      <c r="H180" s="123"/>
    </row>
    <row r="181" spans="1:8" ht="15">
      <c r="A181" s="130"/>
      <c r="B181" s="131">
        <f>DATE(2016,2,1)</f>
        <v>42401</v>
      </c>
      <c r="C181" s="204">
        <v>14442703</v>
      </c>
      <c r="D181" s="204">
        <v>2652182</v>
      </c>
      <c r="E181" s="204">
        <v>2936954.5</v>
      </c>
      <c r="F181" s="132">
        <f t="shared" si="22"/>
        <v>-0.09696183580644507</v>
      </c>
      <c r="G181" s="215">
        <f t="shared" si="23"/>
        <v>0.1836347392866834</v>
      </c>
      <c r="H181" s="123"/>
    </row>
    <row r="182" spans="1:8" ht="15">
      <c r="A182" s="130"/>
      <c r="B182" s="131">
        <f>DATE(2016,3,1)</f>
        <v>42430</v>
      </c>
      <c r="C182" s="204">
        <v>14761408</v>
      </c>
      <c r="D182" s="204">
        <v>4021308</v>
      </c>
      <c r="E182" s="204">
        <v>3076007.3</v>
      </c>
      <c r="F182" s="132">
        <f t="shared" si="22"/>
        <v>0.3073141926548745</v>
      </c>
      <c r="G182" s="215">
        <f t="shared" si="23"/>
        <v>0.27242035448109014</v>
      </c>
      <c r="H182" s="123"/>
    </row>
    <row r="183" spans="1:8" ht="15">
      <c r="A183" s="130"/>
      <c r="B183" s="131">
        <f>DATE(2016,4,1)</f>
        <v>42461</v>
      </c>
      <c r="C183" s="204">
        <v>13995357</v>
      </c>
      <c r="D183" s="204">
        <v>3351687.5</v>
      </c>
      <c r="E183" s="204">
        <v>2661367.8</v>
      </c>
      <c r="F183" s="132">
        <f t="shared" si="22"/>
        <v>0.25938530555603784</v>
      </c>
      <c r="G183" s="215">
        <f t="shared" si="23"/>
        <v>0.239485673713075</v>
      </c>
      <c r="H183" s="123"/>
    </row>
    <row r="184" spans="1:8" ht="15">
      <c r="A184" s="130"/>
      <c r="B184" s="131">
        <f>DATE(2016,5,1)</f>
        <v>42491</v>
      </c>
      <c r="C184" s="204">
        <v>15586976.25</v>
      </c>
      <c r="D184" s="204">
        <v>3138065.25</v>
      </c>
      <c r="E184" s="204">
        <v>2674195.5</v>
      </c>
      <c r="F184" s="132">
        <f t="shared" si="22"/>
        <v>0.17346142045336627</v>
      </c>
      <c r="G184" s="215">
        <f t="shared" si="23"/>
        <v>0.20132610710816987</v>
      </c>
      <c r="H184" s="123"/>
    </row>
    <row r="185" spans="1:8" ht="15">
      <c r="A185" s="130"/>
      <c r="B185" s="131">
        <f>DATE(2016,6,1)</f>
        <v>42522</v>
      </c>
      <c r="C185" s="204">
        <v>12240864</v>
      </c>
      <c r="D185" s="204">
        <v>2501416.2</v>
      </c>
      <c r="E185" s="204">
        <v>2661680.95</v>
      </c>
      <c r="F185" s="132">
        <f t="shared" si="22"/>
        <v>-0.06021185597019056</v>
      </c>
      <c r="G185" s="215">
        <f t="shared" si="23"/>
        <v>0.20434964394670183</v>
      </c>
      <c r="H185" s="123"/>
    </row>
    <row r="186" spans="1:8" ht="15" thickBot="1">
      <c r="A186" s="133"/>
      <c r="B186" s="134"/>
      <c r="C186" s="204"/>
      <c r="D186" s="204"/>
      <c r="E186" s="204"/>
      <c r="F186" s="132"/>
      <c r="G186" s="215"/>
      <c r="H186" s="123"/>
    </row>
    <row r="187" spans="1:8" ht="16.5" thickBot="1" thickTop="1">
      <c r="A187" s="141" t="s">
        <v>14</v>
      </c>
      <c r="B187" s="142"/>
      <c r="C187" s="206">
        <f>SUM(C174:C186)</f>
        <v>173348399.5</v>
      </c>
      <c r="D187" s="207">
        <f>SUM(D174:D186)</f>
        <v>34972507.6</v>
      </c>
      <c r="E187" s="206">
        <f>SUM(E174:E186)</f>
        <v>33406766.05</v>
      </c>
      <c r="F187" s="143">
        <f>(+D187-E187)/E187</f>
        <v>0.04686899497115497</v>
      </c>
      <c r="G187" s="217">
        <f>D187/C187</f>
        <v>0.20174693104103336</v>
      </c>
      <c r="H187" s="123"/>
    </row>
    <row r="188" spans="1:8" ht="15.75" customHeight="1" thickTop="1">
      <c r="A188" s="130"/>
      <c r="B188" s="134"/>
      <c r="C188" s="204"/>
      <c r="D188" s="204"/>
      <c r="E188" s="204"/>
      <c r="F188" s="132"/>
      <c r="G188" s="218"/>
      <c r="H188" s="123"/>
    </row>
    <row r="189" spans="1:8" ht="15">
      <c r="A189" s="130" t="s">
        <v>64</v>
      </c>
      <c r="B189" s="131">
        <f>DATE(2015,7,1)</f>
        <v>42186</v>
      </c>
      <c r="C189" s="204">
        <v>1011302</v>
      </c>
      <c r="D189" s="204">
        <v>269248.5</v>
      </c>
      <c r="E189" s="204">
        <v>209226.5</v>
      </c>
      <c r="F189" s="132">
        <f aca="true" t="shared" si="24" ref="F189:F200">(+D189-E189)/E189</f>
        <v>0.2868757064712166</v>
      </c>
      <c r="G189" s="215">
        <f aca="true" t="shared" si="25" ref="G189:G200">D189/C189</f>
        <v>0.26623946160494094</v>
      </c>
      <c r="H189" s="123"/>
    </row>
    <row r="190" spans="1:8" ht="15">
      <c r="A190" s="130"/>
      <c r="B190" s="131">
        <f>DATE(2015,8,1)</f>
        <v>42217</v>
      </c>
      <c r="C190" s="204">
        <v>919958</v>
      </c>
      <c r="D190" s="204">
        <v>235920</v>
      </c>
      <c r="E190" s="204">
        <v>218501</v>
      </c>
      <c r="F190" s="132">
        <f t="shared" si="24"/>
        <v>0.07972045894526798</v>
      </c>
      <c r="G190" s="215">
        <f t="shared" si="25"/>
        <v>0.25644648994845415</v>
      </c>
      <c r="H190" s="123"/>
    </row>
    <row r="191" spans="1:8" ht="15">
      <c r="A191" s="130"/>
      <c r="B191" s="131">
        <f>DATE(2015,9,1)</f>
        <v>42248</v>
      </c>
      <c r="C191" s="204">
        <v>836836</v>
      </c>
      <c r="D191" s="204">
        <v>195216</v>
      </c>
      <c r="E191" s="204">
        <v>191716</v>
      </c>
      <c r="F191" s="132">
        <f t="shared" si="24"/>
        <v>0.01825617058565795</v>
      </c>
      <c r="G191" s="215">
        <f t="shared" si="25"/>
        <v>0.2332786830394486</v>
      </c>
      <c r="H191" s="123"/>
    </row>
    <row r="192" spans="1:8" ht="15">
      <c r="A192" s="130"/>
      <c r="B192" s="131">
        <f>DATE(2015,10,1)</f>
        <v>42278</v>
      </c>
      <c r="C192" s="204">
        <v>931644</v>
      </c>
      <c r="D192" s="204">
        <v>237963</v>
      </c>
      <c r="E192" s="204">
        <v>199376.5</v>
      </c>
      <c r="F192" s="132">
        <f t="shared" si="24"/>
        <v>0.1935358480061592</v>
      </c>
      <c r="G192" s="215">
        <f t="shared" si="25"/>
        <v>0.25542267217950204</v>
      </c>
      <c r="H192" s="123"/>
    </row>
    <row r="193" spans="1:8" ht="15">
      <c r="A193" s="130"/>
      <c r="B193" s="131">
        <f>DATE(2015,11,1)</f>
        <v>42309</v>
      </c>
      <c r="C193" s="204">
        <v>914049</v>
      </c>
      <c r="D193" s="204">
        <v>203084</v>
      </c>
      <c r="E193" s="204">
        <v>212572.5</v>
      </c>
      <c r="F193" s="132">
        <f t="shared" si="24"/>
        <v>-0.044636535770149005</v>
      </c>
      <c r="G193" s="215">
        <f t="shared" si="25"/>
        <v>0.22218064895864445</v>
      </c>
      <c r="H193" s="123"/>
    </row>
    <row r="194" spans="1:8" ht="15">
      <c r="A194" s="130"/>
      <c r="B194" s="131">
        <f>DATE(2015,12,1)</f>
        <v>42339</v>
      </c>
      <c r="C194" s="204">
        <v>1014496</v>
      </c>
      <c r="D194" s="204">
        <v>257359.5</v>
      </c>
      <c r="E194" s="204">
        <v>242239</v>
      </c>
      <c r="F194" s="132">
        <f t="shared" si="24"/>
        <v>0.06241975899834461</v>
      </c>
      <c r="G194" s="215">
        <f t="shared" si="25"/>
        <v>0.25368212393148915</v>
      </c>
      <c r="H194" s="123"/>
    </row>
    <row r="195" spans="1:8" ht="15">
      <c r="A195" s="130"/>
      <c r="B195" s="131">
        <f>DATE(2016,1,1)</f>
        <v>42370</v>
      </c>
      <c r="C195" s="204">
        <v>914636</v>
      </c>
      <c r="D195" s="204">
        <v>255400.5</v>
      </c>
      <c r="E195" s="204">
        <v>226033.5</v>
      </c>
      <c r="F195" s="132">
        <f t="shared" si="24"/>
        <v>0.12992321934580495</v>
      </c>
      <c r="G195" s="215">
        <f t="shared" si="25"/>
        <v>0.27923731407904345</v>
      </c>
      <c r="H195" s="123"/>
    </row>
    <row r="196" spans="1:8" ht="15">
      <c r="A196" s="130"/>
      <c r="B196" s="131">
        <f>DATE(2016,2,1)</f>
        <v>42401</v>
      </c>
      <c r="C196" s="204">
        <v>1075608</v>
      </c>
      <c r="D196" s="204">
        <v>265068.5</v>
      </c>
      <c r="E196" s="204">
        <v>202023.5</v>
      </c>
      <c r="F196" s="132">
        <f t="shared" si="24"/>
        <v>0.312067655495524</v>
      </c>
      <c r="G196" s="215">
        <f t="shared" si="25"/>
        <v>0.2464359692378636</v>
      </c>
      <c r="H196" s="123"/>
    </row>
    <row r="197" spans="1:8" ht="15">
      <c r="A197" s="130"/>
      <c r="B197" s="131">
        <f>DATE(2016,3,1)</f>
        <v>42430</v>
      </c>
      <c r="C197" s="204">
        <v>1063544</v>
      </c>
      <c r="D197" s="204">
        <v>257036.5</v>
      </c>
      <c r="E197" s="204">
        <v>265796.5</v>
      </c>
      <c r="F197" s="132">
        <f t="shared" si="24"/>
        <v>-0.03295754458768268</v>
      </c>
      <c r="G197" s="215">
        <f t="shared" si="25"/>
        <v>0.2416792347096124</v>
      </c>
      <c r="H197" s="123"/>
    </row>
    <row r="198" spans="1:8" ht="15">
      <c r="A198" s="130"/>
      <c r="B198" s="131">
        <f>DATE(2016,4,1)</f>
        <v>42461</v>
      </c>
      <c r="C198" s="204">
        <v>1035091</v>
      </c>
      <c r="D198" s="204">
        <v>217822.5</v>
      </c>
      <c r="E198" s="204">
        <v>285401</v>
      </c>
      <c r="F198" s="132">
        <f t="shared" si="24"/>
        <v>-0.23678438407714059</v>
      </c>
      <c r="G198" s="215">
        <f t="shared" si="25"/>
        <v>0.21043801945915866</v>
      </c>
      <c r="H198" s="123"/>
    </row>
    <row r="199" spans="1:8" ht="15">
      <c r="A199" s="130"/>
      <c r="B199" s="131">
        <f>DATE(2016,5,1)</f>
        <v>42491</v>
      </c>
      <c r="C199" s="204">
        <v>1093356</v>
      </c>
      <c r="D199" s="204">
        <v>205481.5</v>
      </c>
      <c r="E199" s="204">
        <v>212565</v>
      </c>
      <c r="F199" s="132">
        <f t="shared" si="24"/>
        <v>-0.03332392444663985</v>
      </c>
      <c r="G199" s="215">
        <f t="shared" si="25"/>
        <v>0.1879365000969492</v>
      </c>
      <c r="H199" s="123"/>
    </row>
    <row r="200" spans="1:8" ht="15">
      <c r="A200" s="130"/>
      <c r="B200" s="131">
        <f>DATE(2016,6,1)</f>
        <v>42522</v>
      </c>
      <c r="C200" s="204">
        <v>967008</v>
      </c>
      <c r="D200" s="204">
        <v>266117.5</v>
      </c>
      <c r="E200" s="204">
        <v>235961.5</v>
      </c>
      <c r="F200" s="132">
        <f t="shared" si="24"/>
        <v>0.12780050982893396</v>
      </c>
      <c r="G200" s="215">
        <f t="shared" si="25"/>
        <v>0.27519679258082663</v>
      </c>
      <c r="H200" s="123"/>
    </row>
    <row r="201" spans="1:8" ht="15" thickBot="1">
      <c r="A201" s="133"/>
      <c r="B201" s="134"/>
      <c r="C201" s="204"/>
      <c r="D201" s="204"/>
      <c r="E201" s="204"/>
      <c r="F201" s="132"/>
      <c r="G201" s="215"/>
      <c r="H201" s="123"/>
    </row>
    <row r="202" spans="1:8" ht="16.5" thickBot="1" thickTop="1">
      <c r="A202" s="135" t="s">
        <v>14</v>
      </c>
      <c r="B202" s="136"/>
      <c r="C202" s="201">
        <f>SUM(C189:C201)</f>
        <v>11777528</v>
      </c>
      <c r="D202" s="207">
        <f>SUM(D189:D201)</f>
        <v>2865718</v>
      </c>
      <c r="E202" s="207">
        <f>SUM(E189:E201)</f>
        <v>2701412.5</v>
      </c>
      <c r="F202" s="143">
        <f>(+D202-E202)/E202</f>
        <v>0.06082206993563553</v>
      </c>
      <c r="G202" s="217">
        <f>D202/C202</f>
        <v>0.24332083948346375</v>
      </c>
      <c r="H202" s="123"/>
    </row>
    <row r="203" spans="1:8" ht="15.75" thickBot="1" thickTop="1">
      <c r="A203" s="146"/>
      <c r="B203" s="139"/>
      <c r="C203" s="205"/>
      <c r="D203" s="205"/>
      <c r="E203" s="205"/>
      <c r="F203" s="140"/>
      <c r="G203" s="216"/>
      <c r="H203" s="123"/>
    </row>
    <row r="204" spans="1:8" ht="16.5" thickBot="1" thickTop="1">
      <c r="A204" s="147" t="s">
        <v>41</v>
      </c>
      <c r="B204" s="121"/>
      <c r="C204" s="201">
        <f>C202+C187+C142+C112+C82+C52+C22+C67+C172+C37+C127+C157+C97</f>
        <v>1120124368.25</v>
      </c>
      <c r="D204" s="201">
        <f>D202+D187+D142+D112+D82+D52+D22+D67+D172+D37+D127+D157+D97</f>
        <v>231957302.82000002</v>
      </c>
      <c r="E204" s="201">
        <f>E202+E187+E142+E112+E82+E52+E22+E67+E172+E37+E127+E157+E97</f>
        <v>215884137.24</v>
      </c>
      <c r="F204" s="137">
        <f>(+D204-E204)/E204</f>
        <v>0.07445274018503432</v>
      </c>
      <c r="G204" s="212">
        <f>D204/C204</f>
        <v>0.20708173966645602</v>
      </c>
      <c r="H204" s="123"/>
    </row>
    <row r="205" spans="1:8" ht="16.5" thickBot="1" thickTop="1">
      <c r="A205" s="147"/>
      <c r="B205" s="121"/>
      <c r="C205" s="201"/>
      <c r="D205" s="201"/>
      <c r="E205" s="201"/>
      <c r="F205" s="137"/>
      <c r="G205" s="212"/>
      <c r="H205" s="123"/>
    </row>
    <row r="206" spans="1:8" ht="16.5" thickBot="1" thickTop="1">
      <c r="A206" s="265" t="s">
        <v>42</v>
      </c>
      <c r="B206" s="266"/>
      <c r="C206" s="206">
        <f>+C20+C35+C50+C65+C80+C95+C110+C125+C140+C155+C170+C185+C200</f>
        <v>84865124</v>
      </c>
      <c r="D206" s="206">
        <f>+D20+D35+D50+D65+D80+D95+D110+D125+D140+D155+D170+D185+D200</f>
        <v>18116686.76</v>
      </c>
      <c r="E206" s="206">
        <f>+E20+E35+E50+E65+E80+E95+E110+E125+E140+E155+E170+E185+E200</f>
        <v>17155208.5</v>
      </c>
      <c r="F206" s="143">
        <f>(+D206-E206)/E206</f>
        <v>0.056045851031189836</v>
      </c>
      <c r="G206" s="217">
        <f>D206/C206</f>
        <v>0.21347623035347243</v>
      </c>
      <c r="H206" s="123"/>
    </row>
    <row r="207" spans="1:8" ht="15.75" thickTop="1">
      <c r="A207" s="256"/>
      <c r="B207" s="258"/>
      <c r="C207" s="259"/>
      <c r="D207" s="259"/>
      <c r="E207" s="259"/>
      <c r="F207" s="260"/>
      <c r="G207" s="257"/>
      <c r="H207" s="257"/>
    </row>
    <row r="208" spans="1:7" ht="17.25">
      <c r="A208" s="263" t="s">
        <v>43</v>
      </c>
      <c r="B208" s="117"/>
      <c r="C208" s="208"/>
      <c r="D208" s="208"/>
      <c r="E208" s="208"/>
      <c r="F208" s="148"/>
      <c r="G208" s="220"/>
    </row>
    <row r="209" ht="15">
      <c r="A209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52" max="7" man="1"/>
    <brk id="97" max="7" man="1"/>
    <brk id="142" max="7" man="1"/>
    <brk id="1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1"/>
  <sheetViews>
    <sheetView showOutlineSymbols="0" zoomScalePageLayoutView="0" workbookViewId="0" topLeftCell="A1">
      <selection activeCell="D207" sqref="D207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5.7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5.7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38</v>
      </c>
      <c r="B10" s="165">
        <f>DATE(15,7,1)</f>
        <v>5661</v>
      </c>
      <c r="C10" s="226">
        <v>119529048.18</v>
      </c>
      <c r="D10" s="226">
        <v>11621705.25</v>
      </c>
      <c r="E10" s="226">
        <v>10257059.81</v>
      </c>
      <c r="F10" s="166">
        <f aca="true" t="shared" si="0" ref="F10:F21">(+D10-E10)/E10</f>
        <v>0.13304450449528962</v>
      </c>
      <c r="G10" s="241">
        <f aca="true" t="shared" si="1" ref="G10:G21">D10/C10</f>
        <v>0.0972291290440024</v>
      </c>
      <c r="H10" s="242">
        <f aca="true" t="shared" si="2" ref="H10:H21">1-G10</f>
        <v>0.9027708709559976</v>
      </c>
      <c r="I10" s="157"/>
    </row>
    <row r="11" spans="1:9" ht="15">
      <c r="A11" s="164"/>
      <c r="B11" s="165">
        <f>DATE(15,8,1)</f>
        <v>5692</v>
      </c>
      <c r="C11" s="226">
        <v>110869124.62</v>
      </c>
      <c r="D11" s="226">
        <v>10817172.85</v>
      </c>
      <c r="E11" s="226">
        <v>11078022.28</v>
      </c>
      <c r="F11" s="166">
        <f t="shared" si="0"/>
        <v>-0.023546570263803416</v>
      </c>
      <c r="G11" s="241">
        <f t="shared" si="1"/>
        <v>0.09756704481139791</v>
      </c>
      <c r="H11" s="242">
        <f t="shared" si="2"/>
        <v>0.9024329551886021</v>
      </c>
      <c r="I11" s="157"/>
    </row>
    <row r="12" spans="1:9" ht="15">
      <c r="A12" s="164"/>
      <c r="B12" s="165">
        <f>DATE(15,9,1)</f>
        <v>5723</v>
      </c>
      <c r="C12" s="226">
        <v>109353678.58</v>
      </c>
      <c r="D12" s="226">
        <v>10632629.7</v>
      </c>
      <c r="E12" s="226">
        <v>9537974.07</v>
      </c>
      <c r="F12" s="166">
        <f t="shared" si="0"/>
        <v>0.11476814908136974</v>
      </c>
      <c r="G12" s="241">
        <f t="shared" si="1"/>
        <v>0.09723156859530312</v>
      </c>
      <c r="H12" s="242">
        <f t="shared" si="2"/>
        <v>0.9027684314046969</v>
      </c>
      <c r="I12" s="157"/>
    </row>
    <row r="13" spans="1:9" ht="15">
      <c r="A13" s="164"/>
      <c r="B13" s="165">
        <f>DATE(15,10,1)</f>
        <v>5753</v>
      </c>
      <c r="C13" s="226">
        <v>114741480.6</v>
      </c>
      <c r="D13" s="226">
        <v>11126596.65</v>
      </c>
      <c r="E13" s="226">
        <v>10436933.78</v>
      </c>
      <c r="F13" s="166">
        <f t="shared" si="0"/>
        <v>0.06607906924939799</v>
      </c>
      <c r="G13" s="241">
        <f t="shared" si="1"/>
        <v>0.09697100466036693</v>
      </c>
      <c r="H13" s="242">
        <f t="shared" si="2"/>
        <v>0.9030289953396331</v>
      </c>
      <c r="I13" s="157"/>
    </row>
    <row r="14" spans="1:9" ht="15">
      <c r="A14" s="164"/>
      <c r="B14" s="165">
        <f>DATE(15,11,1)</f>
        <v>5784</v>
      </c>
      <c r="C14" s="226">
        <v>106190479.7</v>
      </c>
      <c r="D14" s="226">
        <v>10298598.03</v>
      </c>
      <c r="E14" s="226">
        <v>10672606.66</v>
      </c>
      <c r="F14" s="166">
        <f t="shared" si="0"/>
        <v>-0.035043794071578836</v>
      </c>
      <c r="G14" s="241">
        <f t="shared" si="1"/>
        <v>0.09698231008179539</v>
      </c>
      <c r="H14" s="242">
        <f t="shared" si="2"/>
        <v>0.9030176899182046</v>
      </c>
      <c r="I14" s="157"/>
    </row>
    <row r="15" spans="1:9" ht="15">
      <c r="A15" s="164"/>
      <c r="B15" s="165">
        <f>DATE(15,12,1)</f>
        <v>5814</v>
      </c>
      <c r="C15" s="226">
        <v>116600292.33</v>
      </c>
      <c r="D15" s="226">
        <v>11644407.53</v>
      </c>
      <c r="E15" s="226">
        <v>10862879.38</v>
      </c>
      <c r="F15" s="166">
        <f t="shared" si="0"/>
        <v>0.07194484285988624</v>
      </c>
      <c r="G15" s="241">
        <f t="shared" si="1"/>
        <v>0.09986602346625523</v>
      </c>
      <c r="H15" s="242">
        <f t="shared" si="2"/>
        <v>0.9001339765337448</v>
      </c>
      <c r="I15" s="157"/>
    </row>
    <row r="16" spans="1:9" ht="15">
      <c r="A16" s="164"/>
      <c r="B16" s="165">
        <f>DATE(16,1,1)</f>
        <v>5845</v>
      </c>
      <c r="C16" s="226">
        <v>113799521.63</v>
      </c>
      <c r="D16" s="226">
        <v>11283801.89</v>
      </c>
      <c r="E16" s="226">
        <v>10668353.86</v>
      </c>
      <c r="F16" s="166">
        <f t="shared" si="0"/>
        <v>0.057689127870754864</v>
      </c>
      <c r="G16" s="241">
        <f t="shared" si="1"/>
        <v>0.09915509071019986</v>
      </c>
      <c r="H16" s="242">
        <f t="shared" si="2"/>
        <v>0.9008449092898001</v>
      </c>
      <c r="I16" s="157"/>
    </row>
    <row r="17" spans="1:9" ht="15">
      <c r="A17" s="164"/>
      <c r="B17" s="165">
        <f>DATE(16,2,1)</f>
        <v>5876</v>
      </c>
      <c r="C17" s="226">
        <v>120768716.92</v>
      </c>
      <c r="D17" s="226">
        <v>11788004.89</v>
      </c>
      <c r="E17" s="226">
        <v>10507428.31</v>
      </c>
      <c r="F17" s="166">
        <f t="shared" si="0"/>
        <v>0.12187345392414102</v>
      </c>
      <c r="G17" s="241">
        <f t="shared" si="1"/>
        <v>0.09760809910573653</v>
      </c>
      <c r="H17" s="242">
        <f t="shared" si="2"/>
        <v>0.9023919008942635</v>
      </c>
      <c r="I17" s="157"/>
    </row>
    <row r="18" spans="1:9" ht="15">
      <c r="A18" s="164"/>
      <c r="B18" s="165">
        <f>DATE(16,3,1)</f>
        <v>5905</v>
      </c>
      <c r="C18" s="226">
        <v>126243681.52</v>
      </c>
      <c r="D18" s="226">
        <v>12028919.83</v>
      </c>
      <c r="E18" s="226">
        <v>11724892.22</v>
      </c>
      <c r="F18" s="166">
        <f t="shared" si="0"/>
        <v>0.025930098485800784</v>
      </c>
      <c r="G18" s="241">
        <f t="shared" si="1"/>
        <v>0.09528334159119349</v>
      </c>
      <c r="H18" s="242">
        <f t="shared" si="2"/>
        <v>0.9047166584088066</v>
      </c>
      <c r="I18" s="157"/>
    </row>
    <row r="19" spans="1:9" ht="15">
      <c r="A19" s="164"/>
      <c r="B19" s="165">
        <f>DATE(16,4,1)</f>
        <v>5936</v>
      </c>
      <c r="C19" s="226">
        <v>127513720.07</v>
      </c>
      <c r="D19" s="226">
        <v>12488370.22</v>
      </c>
      <c r="E19" s="226">
        <v>11415604.65</v>
      </c>
      <c r="F19" s="166">
        <f t="shared" si="0"/>
        <v>0.0939736091859138</v>
      </c>
      <c r="G19" s="241">
        <f t="shared" si="1"/>
        <v>0.09793746283258287</v>
      </c>
      <c r="H19" s="242">
        <f t="shared" si="2"/>
        <v>0.9020625371674171</v>
      </c>
      <c r="I19" s="157"/>
    </row>
    <row r="20" spans="1:9" ht="15">
      <c r="A20" s="164"/>
      <c r="B20" s="165">
        <f>DATE(16,5,1)</f>
        <v>5966</v>
      </c>
      <c r="C20" s="226">
        <v>122185203.25</v>
      </c>
      <c r="D20" s="226">
        <v>11746361.38</v>
      </c>
      <c r="E20" s="226">
        <v>12026852.16</v>
      </c>
      <c r="F20" s="166">
        <f t="shared" si="0"/>
        <v>-0.023322044394366224</v>
      </c>
      <c r="G20" s="241">
        <f t="shared" si="1"/>
        <v>0.09613571093355774</v>
      </c>
      <c r="H20" s="242">
        <f t="shared" si="2"/>
        <v>0.9038642890664422</v>
      </c>
      <c r="I20" s="157"/>
    </row>
    <row r="21" spans="1:9" ht="15">
      <c r="A21" s="164"/>
      <c r="B21" s="165">
        <f>DATE(16,6,1)</f>
        <v>5997</v>
      </c>
      <c r="C21" s="226">
        <v>113376287.73</v>
      </c>
      <c r="D21" s="226">
        <v>10592077.56</v>
      </c>
      <c r="E21" s="226">
        <v>10246530.83</v>
      </c>
      <c r="F21" s="166">
        <f t="shared" si="0"/>
        <v>0.033723289934218685</v>
      </c>
      <c r="G21" s="241">
        <f t="shared" si="1"/>
        <v>0.0934240992721909</v>
      </c>
      <c r="H21" s="242">
        <f t="shared" si="2"/>
        <v>0.9065759007278091</v>
      </c>
      <c r="I21" s="157"/>
    </row>
    <row r="22" spans="1:9" ht="15" thickBot="1">
      <c r="A22" s="167"/>
      <c r="B22" s="168"/>
      <c r="C22" s="226"/>
      <c r="D22" s="226"/>
      <c r="E22" s="226"/>
      <c r="F22" s="166"/>
      <c r="G22" s="241"/>
      <c r="H22" s="242"/>
      <c r="I22" s="157"/>
    </row>
    <row r="23" spans="1:9" ht="16.5" thickBot="1" thickTop="1">
      <c r="A23" s="169" t="s">
        <v>14</v>
      </c>
      <c r="B23" s="155"/>
      <c r="C23" s="223">
        <f>SUM(C10:C22)</f>
        <v>1401171235.13</v>
      </c>
      <c r="D23" s="223">
        <f>SUM(D10:D22)</f>
        <v>136068645.78</v>
      </c>
      <c r="E23" s="223">
        <f>SUM(E10:E22)</f>
        <v>129435138.01</v>
      </c>
      <c r="F23" s="170">
        <f>(+D23-E23)/E23</f>
        <v>0.05124966737770619</v>
      </c>
      <c r="G23" s="236">
        <f>D23/C23</f>
        <v>0.09711064741303771</v>
      </c>
      <c r="H23" s="237">
        <f>1-G23</f>
        <v>0.9028893525869623</v>
      </c>
      <c r="I23" s="157"/>
    </row>
    <row r="24" spans="1:9" ht="15" thickTop="1">
      <c r="A24" s="171"/>
      <c r="B24" s="172"/>
      <c r="C24" s="227"/>
      <c r="D24" s="227"/>
      <c r="E24" s="227"/>
      <c r="F24" s="173"/>
      <c r="G24" s="243"/>
      <c r="H24" s="244"/>
      <c r="I24" s="157"/>
    </row>
    <row r="25" spans="1:9" ht="15">
      <c r="A25" s="19" t="s">
        <v>51</v>
      </c>
      <c r="B25" s="165">
        <f>DATE(15,7,1)</f>
        <v>5661</v>
      </c>
      <c r="C25" s="226">
        <v>72046869.77</v>
      </c>
      <c r="D25" s="226">
        <v>6594609.95</v>
      </c>
      <c r="E25" s="226">
        <v>6282867.11</v>
      </c>
      <c r="F25" s="166">
        <f aca="true" t="shared" si="3" ref="F25:F36">(+D25-E25)/E25</f>
        <v>0.0496179267430025</v>
      </c>
      <c r="G25" s="241">
        <f aca="true" t="shared" si="4" ref="G25:G36">D25/C25</f>
        <v>0.0915322202207037</v>
      </c>
      <c r="H25" s="242">
        <f aca="true" t="shared" si="5" ref="H25:H36">1-G25</f>
        <v>0.9084677797792963</v>
      </c>
      <c r="I25" s="157"/>
    </row>
    <row r="26" spans="1:9" ht="15">
      <c r="A26" s="19"/>
      <c r="B26" s="165">
        <f>DATE(15,8,1)</f>
        <v>5692</v>
      </c>
      <c r="C26" s="226">
        <v>68689813.83</v>
      </c>
      <c r="D26" s="226">
        <v>6431397.79</v>
      </c>
      <c r="E26" s="226">
        <v>6628156.87</v>
      </c>
      <c r="F26" s="166">
        <f t="shared" si="3"/>
        <v>-0.029685338452166126</v>
      </c>
      <c r="G26" s="241">
        <f t="shared" si="4"/>
        <v>0.09362957084025628</v>
      </c>
      <c r="H26" s="242">
        <f t="shared" si="5"/>
        <v>0.9063704291597438</v>
      </c>
      <c r="I26" s="157"/>
    </row>
    <row r="27" spans="1:9" ht="15">
      <c r="A27" s="19"/>
      <c r="B27" s="165">
        <f>DATE(15,9,1)</f>
        <v>5723</v>
      </c>
      <c r="C27" s="226">
        <v>62321018.3</v>
      </c>
      <c r="D27" s="226">
        <v>5883042.82</v>
      </c>
      <c r="E27" s="226">
        <v>6002003.73</v>
      </c>
      <c r="F27" s="166">
        <f t="shared" si="3"/>
        <v>-0.019820199278683243</v>
      </c>
      <c r="G27" s="241">
        <f t="shared" si="4"/>
        <v>0.09439901626254397</v>
      </c>
      <c r="H27" s="242">
        <f t="shared" si="5"/>
        <v>0.905600983737456</v>
      </c>
      <c r="I27" s="157"/>
    </row>
    <row r="28" spans="1:9" ht="15">
      <c r="A28" s="19"/>
      <c r="B28" s="165">
        <f>DATE(15,10,1)</f>
        <v>5753</v>
      </c>
      <c r="C28" s="226">
        <v>62573581.97</v>
      </c>
      <c r="D28" s="226">
        <v>6191302.27</v>
      </c>
      <c r="E28" s="226">
        <v>5911302.22</v>
      </c>
      <c r="F28" s="166">
        <f t="shared" si="3"/>
        <v>0.047366898118093484</v>
      </c>
      <c r="G28" s="241">
        <f t="shared" si="4"/>
        <v>0.09894434799926158</v>
      </c>
      <c r="H28" s="242">
        <f t="shared" si="5"/>
        <v>0.9010556520007384</v>
      </c>
      <c r="I28" s="157"/>
    </row>
    <row r="29" spans="1:9" ht="15">
      <c r="A29" s="19"/>
      <c r="B29" s="165">
        <f>DATE(15,11,1)</f>
        <v>5784</v>
      </c>
      <c r="C29" s="226">
        <v>61132103.77</v>
      </c>
      <c r="D29" s="226">
        <v>5817798.12</v>
      </c>
      <c r="E29" s="226">
        <v>5713594.45</v>
      </c>
      <c r="F29" s="166">
        <f t="shared" si="3"/>
        <v>0.018237848505330986</v>
      </c>
      <c r="G29" s="241">
        <f t="shared" si="4"/>
        <v>0.09516764124278394</v>
      </c>
      <c r="H29" s="242">
        <f t="shared" si="5"/>
        <v>0.904832358757216</v>
      </c>
      <c r="I29" s="157"/>
    </row>
    <row r="30" spans="1:9" ht="15">
      <c r="A30" s="19"/>
      <c r="B30" s="165">
        <f>DATE(15,12,1)</f>
        <v>5814</v>
      </c>
      <c r="C30" s="226">
        <v>63427012.27</v>
      </c>
      <c r="D30" s="226">
        <v>6088776.8</v>
      </c>
      <c r="E30" s="226">
        <v>5850589.71</v>
      </c>
      <c r="F30" s="166">
        <f t="shared" si="3"/>
        <v>0.04071163793846003</v>
      </c>
      <c r="G30" s="241">
        <f t="shared" si="4"/>
        <v>0.09599658855253848</v>
      </c>
      <c r="H30" s="242">
        <f t="shared" si="5"/>
        <v>0.9040034114474615</v>
      </c>
      <c r="I30" s="157"/>
    </row>
    <row r="31" spans="1:9" ht="15">
      <c r="A31" s="19"/>
      <c r="B31" s="165">
        <f>DATE(16,1,1)</f>
        <v>5845</v>
      </c>
      <c r="C31" s="226">
        <v>62285246.98</v>
      </c>
      <c r="D31" s="226">
        <v>6038903.65</v>
      </c>
      <c r="E31" s="226">
        <v>6478436.21</v>
      </c>
      <c r="F31" s="166">
        <f t="shared" si="3"/>
        <v>-0.06784547161574962</v>
      </c>
      <c r="G31" s="241">
        <f t="shared" si="4"/>
        <v>0.09695560253520569</v>
      </c>
      <c r="H31" s="242">
        <f t="shared" si="5"/>
        <v>0.9030443974647944</v>
      </c>
      <c r="I31" s="157"/>
    </row>
    <row r="32" spans="1:9" ht="15">
      <c r="A32" s="19"/>
      <c r="B32" s="165">
        <f>DATE(16,2,1)</f>
        <v>5876</v>
      </c>
      <c r="C32" s="226">
        <v>66092516.89</v>
      </c>
      <c r="D32" s="226">
        <v>6536981.87</v>
      </c>
      <c r="E32" s="226">
        <v>5974487.42</v>
      </c>
      <c r="F32" s="166">
        <f t="shared" si="3"/>
        <v>0.09414940738129468</v>
      </c>
      <c r="G32" s="241">
        <f t="shared" si="4"/>
        <v>0.0989065355292751</v>
      </c>
      <c r="H32" s="242">
        <f t="shared" si="5"/>
        <v>0.9010934644707249</v>
      </c>
      <c r="I32" s="157"/>
    </row>
    <row r="33" spans="1:9" ht="15">
      <c r="A33" s="19"/>
      <c r="B33" s="165">
        <f>DATE(16,3,1)</f>
        <v>5905</v>
      </c>
      <c r="C33" s="226">
        <v>68885269.56</v>
      </c>
      <c r="D33" s="226">
        <v>6425066</v>
      </c>
      <c r="E33" s="226">
        <v>6676502.05</v>
      </c>
      <c r="F33" s="166">
        <f t="shared" si="3"/>
        <v>-0.03765984764432145</v>
      </c>
      <c r="G33" s="241">
        <f t="shared" si="4"/>
        <v>0.09327198748062793</v>
      </c>
      <c r="H33" s="242">
        <f t="shared" si="5"/>
        <v>0.9067280125193721</v>
      </c>
      <c r="I33" s="157"/>
    </row>
    <row r="34" spans="1:9" ht="15">
      <c r="A34" s="19"/>
      <c r="B34" s="165">
        <f>DATE(16,4,1)</f>
        <v>5936</v>
      </c>
      <c r="C34" s="226">
        <v>67928097.73</v>
      </c>
      <c r="D34" s="226">
        <v>6764914.98</v>
      </c>
      <c r="E34" s="226">
        <v>6166561.03</v>
      </c>
      <c r="F34" s="166">
        <f t="shared" si="3"/>
        <v>0.09703203245521112</v>
      </c>
      <c r="G34" s="241">
        <f t="shared" si="4"/>
        <v>0.09958934823832583</v>
      </c>
      <c r="H34" s="242">
        <f t="shared" si="5"/>
        <v>0.9004106517616741</v>
      </c>
      <c r="I34" s="157"/>
    </row>
    <row r="35" spans="1:9" ht="15">
      <c r="A35" s="19"/>
      <c r="B35" s="165">
        <f>DATE(16,5,1)</f>
        <v>5966</v>
      </c>
      <c r="C35" s="226">
        <v>65899390.34</v>
      </c>
      <c r="D35" s="226">
        <v>6351210.75</v>
      </c>
      <c r="E35" s="226">
        <v>7140263.09</v>
      </c>
      <c r="F35" s="166">
        <f t="shared" si="3"/>
        <v>-0.1105074603070403</v>
      </c>
      <c r="G35" s="241">
        <f t="shared" si="4"/>
        <v>0.09637738251039485</v>
      </c>
      <c r="H35" s="242">
        <f t="shared" si="5"/>
        <v>0.9036226174896052</v>
      </c>
      <c r="I35" s="157"/>
    </row>
    <row r="36" spans="1:9" ht="15">
      <c r="A36" s="19"/>
      <c r="B36" s="165">
        <f>DATE(16,6,1)</f>
        <v>5997</v>
      </c>
      <c r="C36" s="226">
        <v>62765240.59</v>
      </c>
      <c r="D36" s="226">
        <v>6139655.96</v>
      </c>
      <c r="E36" s="226">
        <v>6133597.7</v>
      </c>
      <c r="F36" s="166">
        <f t="shared" si="3"/>
        <v>0.0009877172087761439</v>
      </c>
      <c r="G36" s="241">
        <f t="shared" si="4"/>
        <v>0.09781936470388028</v>
      </c>
      <c r="H36" s="242">
        <f t="shared" si="5"/>
        <v>0.9021806352961197</v>
      </c>
      <c r="I36" s="157"/>
    </row>
    <row r="37" spans="1:9" ht="1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6.5" thickBot="1" thickTop="1">
      <c r="A38" s="169" t="s">
        <v>14</v>
      </c>
      <c r="B38" s="155"/>
      <c r="C38" s="223">
        <f>SUM(C25:C37)</f>
        <v>784046162</v>
      </c>
      <c r="D38" s="223">
        <f>SUM(D25:D37)</f>
        <v>75263660.96</v>
      </c>
      <c r="E38" s="223">
        <f>SUM(E25:E37)</f>
        <v>74958361.59</v>
      </c>
      <c r="F38" s="170">
        <f>(+D38-E38)/E38</f>
        <v>0.004072919465207722</v>
      </c>
      <c r="G38" s="236">
        <f>D38/C38</f>
        <v>0.09599391541948521</v>
      </c>
      <c r="H38" s="237">
        <f>1-G38</f>
        <v>0.9040060845805148</v>
      </c>
      <c r="I38" s="157"/>
    </row>
    <row r="39" spans="1:9" ht="15" thickTop="1">
      <c r="A39" s="171"/>
      <c r="B39" s="172"/>
      <c r="C39" s="227"/>
      <c r="D39" s="227"/>
      <c r="E39" s="227"/>
      <c r="F39" s="173"/>
      <c r="G39" s="243"/>
      <c r="H39" s="244"/>
      <c r="I39" s="157"/>
    </row>
    <row r="40" spans="1:9" ht="15">
      <c r="A40" s="19" t="s">
        <v>60</v>
      </c>
      <c r="B40" s="165">
        <f>DATE(15,7,1)</f>
        <v>5661</v>
      </c>
      <c r="C40" s="226">
        <v>25487305.22</v>
      </c>
      <c r="D40" s="226">
        <v>2846303.55</v>
      </c>
      <c r="E40" s="226">
        <v>2494578.8</v>
      </c>
      <c r="F40" s="166">
        <f aca="true" t="shared" si="6" ref="F40:F51">(+D40-E40)/E40</f>
        <v>0.14099564623895627</v>
      </c>
      <c r="G40" s="241">
        <f aca="true" t="shared" si="7" ref="G40:G51">D40/C40</f>
        <v>0.11167534289841255</v>
      </c>
      <c r="H40" s="242">
        <f aca="true" t="shared" si="8" ref="H40:H51">1-G40</f>
        <v>0.8883246571015875</v>
      </c>
      <c r="I40" s="157"/>
    </row>
    <row r="41" spans="1:9" ht="15">
      <c r="A41" s="19"/>
      <c r="B41" s="165">
        <f>DATE(15,8,1)</f>
        <v>5692</v>
      </c>
      <c r="C41" s="226">
        <v>25567058.22</v>
      </c>
      <c r="D41" s="226">
        <v>2714078.62</v>
      </c>
      <c r="E41" s="226">
        <v>2704944.47</v>
      </c>
      <c r="F41" s="166">
        <f t="shared" si="6"/>
        <v>0.0033768345713950667</v>
      </c>
      <c r="G41" s="241">
        <f t="shared" si="7"/>
        <v>0.10615529548397142</v>
      </c>
      <c r="H41" s="242">
        <f t="shared" si="8"/>
        <v>0.8938447045160286</v>
      </c>
      <c r="I41" s="157"/>
    </row>
    <row r="42" spans="1:9" ht="15">
      <c r="A42" s="19"/>
      <c r="B42" s="165">
        <f>DATE(15,9,1)</f>
        <v>5723</v>
      </c>
      <c r="C42" s="226">
        <v>24789497.76</v>
      </c>
      <c r="D42" s="226">
        <v>2695425.84</v>
      </c>
      <c r="E42" s="226">
        <v>2315066.28</v>
      </c>
      <c r="F42" s="166">
        <f t="shared" si="6"/>
        <v>0.16429748179823175</v>
      </c>
      <c r="G42" s="241">
        <f t="shared" si="7"/>
        <v>0.10873257159527058</v>
      </c>
      <c r="H42" s="242">
        <f t="shared" si="8"/>
        <v>0.8912674284047294</v>
      </c>
      <c r="I42" s="157"/>
    </row>
    <row r="43" spans="1:9" ht="15">
      <c r="A43" s="19"/>
      <c r="B43" s="165">
        <f>DATE(15,10,1)</f>
        <v>5753</v>
      </c>
      <c r="C43" s="226">
        <v>24608249.39</v>
      </c>
      <c r="D43" s="226">
        <v>2767115.51</v>
      </c>
      <c r="E43" s="226">
        <v>2355316.74</v>
      </c>
      <c r="F43" s="166">
        <f t="shared" si="6"/>
        <v>0.17483795831213747</v>
      </c>
      <c r="G43" s="241">
        <f t="shared" si="7"/>
        <v>0.11244666234260721</v>
      </c>
      <c r="H43" s="242">
        <f t="shared" si="8"/>
        <v>0.8875533376573927</v>
      </c>
      <c r="I43" s="157"/>
    </row>
    <row r="44" spans="1:9" ht="15">
      <c r="A44" s="19"/>
      <c r="B44" s="165">
        <f>DATE(15,11,1)</f>
        <v>5784</v>
      </c>
      <c r="C44" s="226">
        <v>23754584.45</v>
      </c>
      <c r="D44" s="226">
        <v>2518266.09</v>
      </c>
      <c r="E44" s="226">
        <v>2510185.21</v>
      </c>
      <c r="F44" s="166">
        <f t="shared" si="6"/>
        <v>0.003219236559839299</v>
      </c>
      <c r="G44" s="241">
        <f t="shared" si="7"/>
        <v>0.10601179302044157</v>
      </c>
      <c r="H44" s="242">
        <f t="shared" si="8"/>
        <v>0.8939882069795584</v>
      </c>
      <c r="I44" s="157"/>
    </row>
    <row r="45" spans="1:9" ht="15">
      <c r="A45" s="19"/>
      <c r="B45" s="165">
        <f>DATE(15,12,1)</f>
        <v>5814</v>
      </c>
      <c r="C45" s="226">
        <v>25417283.46</v>
      </c>
      <c r="D45" s="226">
        <v>2694283.06</v>
      </c>
      <c r="E45" s="226">
        <v>2494340.17</v>
      </c>
      <c r="F45" s="166">
        <f t="shared" si="6"/>
        <v>0.0801586296868242</v>
      </c>
      <c r="G45" s="241">
        <f t="shared" si="7"/>
        <v>0.10600200702958994</v>
      </c>
      <c r="H45" s="242">
        <f t="shared" si="8"/>
        <v>0.89399799297041</v>
      </c>
      <c r="I45" s="157"/>
    </row>
    <row r="46" spans="1:9" ht="15">
      <c r="A46" s="19"/>
      <c r="B46" s="165">
        <f>DATE(16,1,1)</f>
        <v>5845</v>
      </c>
      <c r="C46" s="226">
        <v>22630065.13</v>
      </c>
      <c r="D46" s="226">
        <v>2432280.99</v>
      </c>
      <c r="E46" s="226">
        <v>2532118.3</v>
      </c>
      <c r="F46" s="166">
        <f t="shared" si="6"/>
        <v>-0.03942837504866956</v>
      </c>
      <c r="G46" s="241">
        <f t="shared" si="7"/>
        <v>0.10748007025289548</v>
      </c>
      <c r="H46" s="242">
        <f t="shared" si="8"/>
        <v>0.8925199297471045</v>
      </c>
      <c r="I46" s="157"/>
    </row>
    <row r="47" spans="1:9" ht="15">
      <c r="A47" s="19"/>
      <c r="B47" s="165">
        <f>DATE(16,2,1)</f>
        <v>5876</v>
      </c>
      <c r="C47" s="226">
        <v>28764639.64</v>
      </c>
      <c r="D47" s="226">
        <v>3118057.19</v>
      </c>
      <c r="E47" s="226">
        <v>2578350.25</v>
      </c>
      <c r="F47" s="166">
        <f t="shared" si="6"/>
        <v>0.20932258524612782</v>
      </c>
      <c r="G47" s="241">
        <f t="shared" si="7"/>
        <v>0.10839896584916855</v>
      </c>
      <c r="H47" s="242">
        <f t="shared" si="8"/>
        <v>0.8916010341508315</v>
      </c>
      <c r="I47" s="157"/>
    </row>
    <row r="48" spans="1:9" ht="15">
      <c r="A48" s="19"/>
      <c r="B48" s="165">
        <f>DATE(16,3,1)</f>
        <v>5905</v>
      </c>
      <c r="C48" s="226">
        <v>27921631.77</v>
      </c>
      <c r="D48" s="226">
        <v>3091667.1</v>
      </c>
      <c r="E48" s="226">
        <v>2659202.77</v>
      </c>
      <c r="F48" s="166">
        <f t="shared" si="6"/>
        <v>0.16262931690613427</v>
      </c>
      <c r="G48" s="241">
        <f t="shared" si="7"/>
        <v>0.11072659096241638</v>
      </c>
      <c r="H48" s="242">
        <f t="shared" si="8"/>
        <v>0.8892734090375836</v>
      </c>
      <c r="I48" s="157"/>
    </row>
    <row r="49" spans="1:9" ht="15">
      <c r="A49" s="19"/>
      <c r="B49" s="165">
        <f>DATE(16,4,1)</f>
        <v>5936</v>
      </c>
      <c r="C49" s="226">
        <v>27771975.18</v>
      </c>
      <c r="D49" s="226">
        <v>2954346.55</v>
      </c>
      <c r="E49" s="226">
        <v>2628844.03</v>
      </c>
      <c r="F49" s="166">
        <f t="shared" si="6"/>
        <v>0.12381963946335761</v>
      </c>
      <c r="G49" s="241">
        <f t="shared" si="7"/>
        <v>0.10637869762059898</v>
      </c>
      <c r="H49" s="242">
        <f t="shared" si="8"/>
        <v>0.8936213023794011</v>
      </c>
      <c r="I49" s="157"/>
    </row>
    <row r="50" spans="1:9" ht="15">
      <c r="A50" s="19"/>
      <c r="B50" s="165">
        <f>DATE(16,5,1)</f>
        <v>5966</v>
      </c>
      <c r="C50" s="226">
        <v>26681207.48</v>
      </c>
      <c r="D50" s="226">
        <v>2854563.03</v>
      </c>
      <c r="E50" s="226">
        <v>2928307.88</v>
      </c>
      <c r="F50" s="166">
        <f t="shared" si="6"/>
        <v>-0.025183434605243797</v>
      </c>
      <c r="G50" s="241">
        <f t="shared" si="7"/>
        <v>0.10698777527740284</v>
      </c>
      <c r="H50" s="242">
        <f t="shared" si="8"/>
        <v>0.8930122247225971</v>
      </c>
      <c r="I50" s="157"/>
    </row>
    <row r="51" spans="1:9" ht="15">
      <c r="A51" s="19"/>
      <c r="B51" s="165">
        <f>DATE(16,6,1)</f>
        <v>5997</v>
      </c>
      <c r="C51" s="226">
        <v>24379351.51</v>
      </c>
      <c r="D51" s="226">
        <v>2651607.9</v>
      </c>
      <c r="E51" s="226">
        <v>2565702.84</v>
      </c>
      <c r="F51" s="166">
        <f t="shared" si="6"/>
        <v>0.033482076981292214</v>
      </c>
      <c r="G51" s="241">
        <f t="shared" si="7"/>
        <v>0.10876449682889862</v>
      </c>
      <c r="H51" s="242">
        <f t="shared" si="8"/>
        <v>0.8912355031711013</v>
      </c>
      <c r="I51" s="157"/>
    </row>
    <row r="52" spans="1:9" ht="15" thickBot="1">
      <c r="A52" s="167"/>
      <c r="B52" s="165"/>
      <c r="C52" s="226"/>
      <c r="D52" s="226"/>
      <c r="E52" s="226"/>
      <c r="F52" s="166"/>
      <c r="G52" s="241"/>
      <c r="H52" s="242"/>
      <c r="I52" s="157"/>
    </row>
    <row r="53" spans="1:9" ht="16.5" thickBot="1" thickTop="1">
      <c r="A53" s="174" t="s">
        <v>14</v>
      </c>
      <c r="B53" s="175"/>
      <c r="C53" s="228">
        <f>SUM(C40:C52)</f>
        <v>307772849.21</v>
      </c>
      <c r="D53" s="228">
        <f>SUM(D40:D52)</f>
        <v>33337995.430000003</v>
      </c>
      <c r="E53" s="228">
        <f>SUM(E40:E52)</f>
        <v>30766957.74</v>
      </c>
      <c r="F53" s="176">
        <f>(+D53-E53)/E53</f>
        <v>0.08356489815232558</v>
      </c>
      <c r="G53" s="245">
        <f>D53/C53</f>
        <v>0.10832013127724849</v>
      </c>
      <c r="H53" s="246">
        <f>1-G53</f>
        <v>0.8916798687227515</v>
      </c>
      <c r="I53" s="157"/>
    </row>
    <row r="54" spans="1:9" ht="15" thickTop="1">
      <c r="A54" s="167"/>
      <c r="B54" s="168"/>
      <c r="C54" s="226"/>
      <c r="D54" s="226"/>
      <c r="E54" s="226"/>
      <c r="F54" s="166"/>
      <c r="G54" s="241"/>
      <c r="H54" s="242"/>
      <c r="I54" s="157"/>
    </row>
    <row r="55" spans="1:9" ht="15">
      <c r="A55" s="177" t="s">
        <v>65</v>
      </c>
      <c r="B55" s="165">
        <f>DATE(15,7,1)</f>
        <v>5661</v>
      </c>
      <c r="C55" s="226">
        <v>188688863.95</v>
      </c>
      <c r="D55" s="226">
        <v>17969647.43</v>
      </c>
      <c r="E55" s="226">
        <v>16184356.72</v>
      </c>
      <c r="F55" s="166">
        <f aca="true" t="shared" si="9" ref="F55:F66">(+D55-E55)/E55</f>
        <v>0.11030964905721621</v>
      </c>
      <c r="G55" s="241">
        <f aca="true" t="shared" si="10" ref="G55:G66">D55/C55</f>
        <v>0.09523427643701175</v>
      </c>
      <c r="H55" s="242">
        <f aca="true" t="shared" si="11" ref="H55:H66">1-G55</f>
        <v>0.9047657235629882</v>
      </c>
      <c r="I55" s="157"/>
    </row>
    <row r="56" spans="1:9" ht="15">
      <c r="A56" s="177"/>
      <c r="B56" s="165">
        <f>DATE(15,8,1)</f>
        <v>5692</v>
      </c>
      <c r="C56" s="226">
        <v>181763351.77</v>
      </c>
      <c r="D56" s="226">
        <v>16973880.95</v>
      </c>
      <c r="E56" s="226">
        <v>16094086.53</v>
      </c>
      <c r="F56" s="166">
        <f t="shared" si="9"/>
        <v>0.05466569465499201</v>
      </c>
      <c r="G56" s="241">
        <f t="shared" si="10"/>
        <v>0.0933845067485245</v>
      </c>
      <c r="H56" s="242">
        <f t="shared" si="11"/>
        <v>0.9066154932514755</v>
      </c>
      <c r="I56" s="157"/>
    </row>
    <row r="57" spans="1:9" ht="15">
      <c r="A57" s="177"/>
      <c r="B57" s="165">
        <f>DATE(15,9,1)</f>
        <v>5723</v>
      </c>
      <c r="C57" s="226">
        <v>161254134.72</v>
      </c>
      <c r="D57" s="226">
        <v>15291033.73</v>
      </c>
      <c r="E57" s="226">
        <v>14708506.16</v>
      </c>
      <c r="F57" s="166">
        <f t="shared" si="9"/>
        <v>0.03960480851442226</v>
      </c>
      <c r="G57" s="241">
        <f t="shared" si="10"/>
        <v>0.09482568466570604</v>
      </c>
      <c r="H57" s="242">
        <f t="shared" si="11"/>
        <v>0.9051743153342939</v>
      </c>
      <c r="I57" s="157"/>
    </row>
    <row r="58" spans="1:9" ht="15">
      <c r="A58" s="177"/>
      <c r="B58" s="165">
        <f>DATE(15,10,1)</f>
        <v>5753</v>
      </c>
      <c r="C58" s="226">
        <v>172823474.75</v>
      </c>
      <c r="D58" s="226">
        <v>16128104.55</v>
      </c>
      <c r="E58" s="226">
        <v>15565657.96</v>
      </c>
      <c r="F58" s="166">
        <f t="shared" si="9"/>
        <v>0.0361338140312059</v>
      </c>
      <c r="G58" s="241">
        <f t="shared" si="10"/>
        <v>0.09332126074499032</v>
      </c>
      <c r="H58" s="242">
        <f t="shared" si="11"/>
        <v>0.9066787392550096</v>
      </c>
      <c r="I58" s="157"/>
    </row>
    <row r="59" spans="1:9" ht="15">
      <c r="A59" s="177"/>
      <c r="B59" s="165">
        <f>DATE(15,11,1)</f>
        <v>5784</v>
      </c>
      <c r="C59" s="226">
        <v>159885965.49</v>
      </c>
      <c r="D59" s="226">
        <v>15205124.65</v>
      </c>
      <c r="E59" s="226">
        <v>14902890.81</v>
      </c>
      <c r="F59" s="166">
        <f t="shared" si="9"/>
        <v>0.020280215687898465</v>
      </c>
      <c r="G59" s="241">
        <f t="shared" si="10"/>
        <v>0.09509980818767359</v>
      </c>
      <c r="H59" s="242">
        <f t="shared" si="11"/>
        <v>0.9049001918123264</v>
      </c>
      <c r="I59" s="157"/>
    </row>
    <row r="60" spans="1:9" ht="15">
      <c r="A60" s="177"/>
      <c r="B60" s="165">
        <f>DATE(15,12,1)</f>
        <v>5814</v>
      </c>
      <c r="C60" s="226">
        <v>170033876.28</v>
      </c>
      <c r="D60" s="226">
        <v>15547838.05</v>
      </c>
      <c r="E60" s="226">
        <v>15639270.65</v>
      </c>
      <c r="F60" s="166">
        <f t="shared" si="9"/>
        <v>-0.005846346805181713</v>
      </c>
      <c r="G60" s="241">
        <f t="shared" si="10"/>
        <v>0.09143964949900277</v>
      </c>
      <c r="H60" s="242">
        <f t="shared" si="11"/>
        <v>0.9085603505009973</v>
      </c>
      <c r="I60" s="157"/>
    </row>
    <row r="61" spans="1:9" ht="15">
      <c r="A61" s="177"/>
      <c r="B61" s="165">
        <f>DATE(16,1,1)</f>
        <v>5845</v>
      </c>
      <c r="C61" s="226">
        <v>174050567.85</v>
      </c>
      <c r="D61" s="226">
        <v>15969475.9</v>
      </c>
      <c r="E61" s="226">
        <v>15669252.65</v>
      </c>
      <c r="F61" s="166">
        <f t="shared" si="9"/>
        <v>0.019160023563727528</v>
      </c>
      <c r="G61" s="241">
        <f t="shared" si="10"/>
        <v>0.09175193219572136</v>
      </c>
      <c r="H61" s="242">
        <f t="shared" si="11"/>
        <v>0.9082480678042786</v>
      </c>
      <c r="I61" s="157"/>
    </row>
    <row r="62" spans="1:9" ht="15">
      <c r="A62" s="177"/>
      <c r="B62" s="165">
        <f>DATE(16,2,1)</f>
        <v>5876</v>
      </c>
      <c r="C62" s="226">
        <v>172266639.66</v>
      </c>
      <c r="D62" s="226">
        <v>16328744.28</v>
      </c>
      <c r="E62" s="226">
        <v>15554550.36</v>
      </c>
      <c r="F62" s="166">
        <f t="shared" si="9"/>
        <v>0.049772825448616824</v>
      </c>
      <c r="G62" s="241">
        <f t="shared" si="10"/>
        <v>0.09478761710466861</v>
      </c>
      <c r="H62" s="242">
        <f t="shared" si="11"/>
        <v>0.9052123828953313</v>
      </c>
      <c r="I62" s="157"/>
    </row>
    <row r="63" spans="1:9" ht="15">
      <c r="A63" s="177"/>
      <c r="B63" s="165">
        <f>DATE(16,3,1)</f>
        <v>5905</v>
      </c>
      <c r="C63" s="226">
        <v>187793605.4</v>
      </c>
      <c r="D63" s="226">
        <v>17564288.74</v>
      </c>
      <c r="E63" s="226">
        <v>17725546.16</v>
      </c>
      <c r="F63" s="166">
        <f t="shared" si="9"/>
        <v>-0.00909745846725446</v>
      </c>
      <c r="G63" s="241">
        <f t="shared" si="10"/>
        <v>0.09352974880368316</v>
      </c>
      <c r="H63" s="242">
        <f t="shared" si="11"/>
        <v>0.9064702511963169</v>
      </c>
      <c r="I63" s="157"/>
    </row>
    <row r="64" spans="1:9" ht="15">
      <c r="A64" s="177"/>
      <c r="B64" s="165">
        <f>DATE(16,4,1)</f>
        <v>5936</v>
      </c>
      <c r="C64" s="226">
        <v>186110738.75</v>
      </c>
      <c r="D64" s="226">
        <v>17199255.8</v>
      </c>
      <c r="E64" s="226">
        <v>16083130.58</v>
      </c>
      <c r="F64" s="166">
        <f t="shared" si="9"/>
        <v>0.06939726158711575</v>
      </c>
      <c r="G64" s="241">
        <f t="shared" si="10"/>
        <v>0.0924140966583531</v>
      </c>
      <c r="H64" s="242">
        <f t="shared" si="11"/>
        <v>0.9075859033416469</v>
      </c>
      <c r="I64" s="157"/>
    </row>
    <row r="65" spans="1:9" ht="15">
      <c r="A65" s="177"/>
      <c r="B65" s="165">
        <f>DATE(16,5,1)</f>
        <v>5966</v>
      </c>
      <c r="C65" s="226">
        <v>183149710.81</v>
      </c>
      <c r="D65" s="226">
        <v>16485998.53</v>
      </c>
      <c r="E65" s="226">
        <v>17472788.21</v>
      </c>
      <c r="F65" s="166">
        <f t="shared" si="9"/>
        <v>-0.05647579929087926</v>
      </c>
      <c r="G65" s="241">
        <f t="shared" si="10"/>
        <v>0.09001378411731492</v>
      </c>
      <c r="H65" s="242">
        <f t="shared" si="11"/>
        <v>0.909986215882685</v>
      </c>
      <c r="I65" s="157"/>
    </row>
    <row r="66" spans="1:9" ht="15">
      <c r="A66" s="177"/>
      <c r="B66" s="165">
        <f>DATE(16,6,1)</f>
        <v>5997</v>
      </c>
      <c r="C66" s="226">
        <v>171771859.57</v>
      </c>
      <c r="D66" s="226">
        <v>15387702.71</v>
      </c>
      <c r="E66" s="226">
        <v>15951184.91</v>
      </c>
      <c r="F66" s="166">
        <f t="shared" si="9"/>
        <v>-0.03532541332692753</v>
      </c>
      <c r="G66" s="241">
        <f t="shared" si="10"/>
        <v>0.08958220949881053</v>
      </c>
      <c r="H66" s="242">
        <f t="shared" si="11"/>
        <v>0.9104177905011894</v>
      </c>
      <c r="I66" s="157"/>
    </row>
    <row r="67" spans="1:9" ht="1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6.5" thickBot="1" thickTop="1">
      <c r="A68" s="174" t="s">
        <v>14</v>
      </c>
      <c r="B68" s="178"/>
      <c r="C68" s="228">
        <f>SUM(C55:C67)</f>
        <v>2109592789</v>
      </c>
      <c r="D68" s="228">
        <f>SUM(D55:D67)</f>
        <v>196051095.32000002</v>
      </c>
      <c r="E68" s="228">
        <f>SUM(E55:E67)</f>
        <v>191551221.70000002</v>
      </c>
      <c r="F68" s="176">
        <f>(+D68-E68)/E68</f>
        <v>0.02349175108393477</v>
      </c>
      <c r="G68" s="245">
        <f>D68/C68</f>
        <v>0.09293314631253227</v>
      </c>
      <c r="H68" s="246">
        <f>1-G68</f>
        <v>0.9070668536874678</v>
      </c>
      <c r="I68" s="157"/>
    </row>
    <row r="69" spans="1:9" ht="1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">
      <c r="A70" s="164" t="s">
        <v>16</v>
      </c>
      <c r="B70" s="165">
        <f>DATE(15,7,1)</f>
        <v>5661</v>
      </c>
      <c r="C70" s="226">
        <v>120489743.99</v>
      </c>
      <c r="D70" s="226">
        <v>11588290.74</v>
      </c>
      <c r="E70" s="226">
        <v>11317531.22</v>
      </c>
      <c r="F70" s="166">
        <f aca="true" t="shared" si="12" ref="F70:F81">(+D70-E70)/E70</f>
        <v>0.023923903078926036</v>
      </c>
      <c r="G70" s="241">
        <f aca="true" t="shared" si="13" ref="G70:G81">D70/C70</f>
        <v>0.09617657367553015</v>
      </c>
      <c r="H70" s="242">
        <f aca="true" t="shared" si="14" ref="H70:H81">1-G70</f>
        <v>0.9038234263244699</v>
      </c>
      <c r="I70" s="157"/>
    </row>
    <row r="71" spans="1:9" ht="15">
      <c r="A71" s="164"/>
      <c r="B71" s="165">
        <f>DATE(15,8,1)</f>
        <v>5692</v>
      </c>
      <c r="C71" s="226">
        <v>114211300.63</v>
      </c>
      <c r="D71" s="226">
        <v>10887415.83</v>
      </c>
      <c r="E71" s="226">
        <v>12087387.41</v>
      </c>
      <c r="F71" s="166">
        <f t="shared" si="12"/>
        <v>-0.09927468519849486</v>
      </c>
      <c r="G71" s="241">
        <f t="shared" si="13"/>
        <v>0.09532695775237666</v>
      </c>
      <c r="H71" s="242">
        <f t="shared" si="14"/>
        <v>0.9046730422476233</v>
      </c>
      <c r="I71" s="157"/>
    </row>
    <row r="72" spans="1:9" ht="15">
      <c r="A72" s="164"/>
      <c r="B72" s="165">
        <f>DATE(15,9,1)</f>
        <v>5723</v>
      </c>
      <c r="C72" s="226">
        <v>109653487.8</v>
      </c>
      <c r="D72" s="226">
        <v>10449419.97</v>
      </c>
      <c r="E72" s="226">
        <v>11134793.77</v>
      </c>
      <c r="F72" s="166">
        <f t="shared" si="12"/>
        <v>-0.06155244669610068</v>
      </c>
      <c r="G72" s="241">
        <f t="shared" si="13"/>
        <v>0.09529491655622468</v>
      </c>
      <c r="H72" s="242">
        <f t="shared" si="14"/>
        <v>0.9047050834437753</v>
      </c>
      <c r="I72" s="157"/>
    </row>
    <row r="73" spans="1:9" ht="15">
      <c r="A73" s="164"/>
      <c r="B73" s="165">
        <f>DATE(15,10,1)</f>
        <v>5753</v>
      </c>
      <c r="C73" s="226">
        <v>124278726.06</v>
      </c>
      <c r="D73" s="226">
        <v>11800330.51</v>
      </c>
      <c r="E73" s="226">
        <v>11239699.89</v>
      </c>
      <c r="F73" s="166">
        <f t="shared" si="12"/>
        <v>0.04987950083069337</v>
      </c>
      <c r="G73" s="241">
        <f t="shared" si="13"/>
        <v>0.09495052680458736</v>
      </c>
      <c r="H73" s="242">
        <f t="shared" si="14"/>
        <v>0.9050494731954126</v>
      </c>
      <c r="I73" s="157"/>
    </row>
    <row r="74" spans="1:9" ht="15">
      <c r="A74" s="164"/>
      <c r="B74" s="165">
        <f>DATE(15,11,1)</f>
        <v>5784</v>
      </c>
      <c r="C74" s="226">
        <v>108004144.39</v>
      </c>
      <c r="D74" s="226">
        <v>10082963.93</v>
      </c>
      <c r="E74" s="226">
        <v>10996815.12</v>
      </c>
      <c r="F74" s="166">
        <f t="shared" si="12"/>
        <v>-0.08310144164722481</v>
      </c>
      <c r="G74" s="241">
        <f t="shared" si="13"/>
        <v>0.09335719464237126</v>
      </c>
      <c r="H74" s="242">
        <f t="shared" si="14"/>
        <v>0.9066428053576288</v>
      </c>
      <c r="I74" s="157"/>
    </row>
    <row r="75" spans="1:9" ht="15">
      <c r="A75" s="164"/>
      <c r="B75" s="165">
        <f>DATE(15,12,1)</f>
        <v>5814</v>
      </c>
      <c r="C75" s="226">
        <v>116106901.66</v>
      </c>
      <c r="D75" s="226">
        <v>11066344.65</v>
      </c>
      <c r="E75" s="226">
        <v>10967179.62</v>
      </c>
      <c r="F75" s="166">
        <f t="shared" si="12"/>
        <v>0.009041981023011748</v>
      </c>
      <c r="G75" s="241">
        <f t="shared" si="13"/>
        <v>0.09531168683155437</v>
      </c>
      <c r="H75" s="242">
        <f t="shared" si="14"/>
        <v>0.9046883131684457</v>
      </c>
      <c r="I75" s="157"/>
    </row>
    <row r="76" spans="1:9" ht="15">
      <c r="A76" s="164"/>
      <c r="B76" s="165">
        <f>DATE(16,1,1)</f>
        <v>5845</v>
      </c>
      <c r="C76" s="226">
        <v>105676521.39</v>
      </c>
      <c r="D76" s="226">
        <v>10499515.19</v>
      </c>
      <c r="E76" s="226">
        <v>11208885.08</v>
      </c>
      <c r="F76" s="166">
        <f t="shared" si="12"/>
        <v>-0.06328639154894436</v>
      </c>
      <c r="G76" s="241">
        <f t="shared" si="13"/>
        <v>0.09935523096233892</v>
      </c>
      <c r="H76" s="242">
        <f t="shared" si="14"/>
        <v>0.9006447690376611</v>
      </c>
      <c r="I76" s="157"/>
    </row>
    <row r="77" spans="1:9" ht="15">
      <c r="A77" s="164"/>
      <c r="B77" s="165">
        <f>DATE(16,2,1)</f>
        <v>5876</v>
      </c>
      <c r="C77" s="226">
        <v>112665303.66</v>
      </c>
      <c r="D77" s="226">
        <v>11108495.74</v>
      </c>
      <c r="E77" s="226">
        <v>10905771.72</v>
      </c>
      <c r="F77" s="166">
        <f t="shared" si="12"/>
        <v>0.018588690943184306</v>
      </c>
      <c r="G77" s="241">
        <f t="shared" si="13"/>
        <v>0.09859730883540763</v>
      </c>
      <c r="H77" s="242">
        <f t="shared" si="14"/>
        <v>0.9014026911645924</v>
      </c>
      <c r="I77" s="157"/>
    </row>
    <row r="78" spans="1:9" ht="15">
      <c r="A78" s="164"/>
      <c r="B78" s="165">
        <f>DATE(16,3,1)</f>
        <v>5905</v>
      </c>
      <c r="C78" s="226">
        <v>118563661.26</v>
      </c>
      <c r="D78" s="226">
        <v>11832882.49</v>
      </c>
      <c r="E78" s="226">
        <v>11881750.2</v>
      </c>
      <c r="F78" s="166">
        <f t="shared" si="12"/>
        <v>-0.004112837686151577</v>
      </c>
      <c r="G78" s="241">
        <f t="shared" si="13"/>
        <v>0.09980193226364271</v>
      </c>
      <c r="H78" s="242">
        <f t="shared" si="14"/>
        <v>0.9001980677363572</v>
      </c>
      <c r="I78" s="157"/>
    </row>
    <row r="79" spans="1:9" ht="15">
      <c r="A79" s="164"/>
      <c r="B79" s="165">
        <f>DATE(16,4,1)</f>
        <v>5936</v>
      </c>
      <c r="C79" s="226">
        <v>122194482.24</v>
      </c>
      <c r="D79" s="226">
        <v>11469970.37</v>
      </c>
      <c r="E79" s="226">
        <v>11101283.56</v>
      </c>
      <c r="F79" s="166">
        <f t="shared" si="12"/>
        <v>0.03321118751785119</v>
      </c>
      <c r="G79" s="241">
        <f t="shared" si="13"/>
        <v>0.09386651639042126</v>
      </c>
      <c r="H79" s="242">
        <f t="shared" si="14"/>
        <v>0.9061334836095787</v>
      </c>
      <c r="I79" s="157"/>
    </row>
    <row r="80" spans="1:9" ht="15">
      <c r="A80" s="164"/>
      <c r="B80" s="165">
        <f>DATE(16,5,1)</f>
        <v>5966</v>
      </c>
      <c r="C80" s="226">
        <v>114672840.28</v>
      </c>
      <c r="D80" s="226">
        <v>11187288.44</v>
      </c>
      <c r="E80" s="226">
        <v>12422253.11</v>
      </c>
      <c r="F80" s="166">
        <f t="shared" si="12"/>
        <v>-0.0994155133585102</v>
      </c>
      <c r="G80" s="241">
        <f t="shared" si="13"/>
        <v>0.09755830947139421</v>
      </c>
      <c r="H80" s="242">
        <f t="shared" si="14"/>
        <v>0.9024416905286058</v>
      </c>
      <c r="I80" s="157"/>
    </row>
    <row r="81" spans="1:9" ht="15">
      <c r="A81" s="164"/>
      <c r="B81" s="165">
        <f>DATE(16,6,1)</f>
        <v>5997</v>
      </c>
      <c r="C81" s="226">
        <v>109047884.71</v>
      </c>
      <c r="D81" s="226">
        <v>10747094.66</v>
      </c>
      <c r="E81" s="226">
        <v>10763325.76</v>
      </c>
      <c r="F81" s="166">
        <f t="shared" si="12"/>
        <v>-0.0015080004416775756</v>
      </c>
      <c r="G81" s="241">
        <f t="shared" si="13"/>
        <v>0.09855390307277058</v>
      </c>
      <c r="H81" s="242">
        <f t="shared" si="14"/>
        <v>0.9014460969272294</v>
      </c>
      <c r="I81" s="157"/>
    </row>
    <row r="82" spans="1:9" ht="15" thickBot="1">
      <c r="A82" s="167"/>
      <c r="B82" s="165"/>
      <c r="C82" s="226"/>
      <c r="D82" s="226"/>
      <c r="E82" s="226"/>
      <c r="F82" s="166"/>
      <c r="G82" s="241"/>
      <c r="H82" s="242"/>
      <c r="I82" s="157"/>
    </row>
    <row r="83" spans="1:9" ht="16.5" thickBot="1" thickTop="1">
      <c r="A83" s="174" t="s">
        <v>14</v>
      </c>
      <c r="B83" s="175"/>
      <c r="C83" s="228">
        <f>SUM(C70:C82)</f>
        <v>1375564998.07</v>
      </c>
      <c r="D83" s="230">
        <f>SUM(D70:D82)</f>
        <v>132720012.51999998</v>
      </c>
      <c r="E83" s="271">
        <f>SUM(E70:E82)</f>
        <v>136026676.46</v>
      </c>
      <c r="F83" s="272">
        <f>(+D83-E83)/E83</f>
        <v>-0.024308937232414</v>
      </c>
      <c r="G83" s="249">
        <f>D83/C83</f>
        <v>0.09648399945201724</v>
      </c>
      <c r="H83" s="270">
        <f>1-G83</f>
        <v>0.9035160005479828</v>
      </c>
      <c r="I83" s="157"/>
    </row>
    <row r="84" spans="1:9" ht="15" thickTop="1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5">
      <c r="A85" s="164" t="s">
        <v>66</v>
      </c>
      <c r="B85" s="165">
        <f>DATE(15,7,1)</f>
        <v>5661</v>
      </c>
      <c r="C85" s="226">
        <v>48352097.83</v>
      </c>
      <c r="D85" s="226">
        <v>4898478.28</v>
      </c>
      <c r="E85" s="226">
        <v>4629796.15</v>
      </c>
      <c r="F85" s="166">
        <f aca="true" t="shared" si="15" ref="F85:F96">(+D85-E85)/E85</f>
        <v>0.058033252716752956</v>
      </c>
      <c r="G85" s="241">
        <f aca="true" t="shared" si="16" ref="G85:G96">D85/C85</f>
        <v>0.10130849538777913</v>
      </c>
      <c r="H85" s="242">
        <f aca="true" t="shared" si="17" ref="H85:H96">1-G85</f>
        <v>0.8986915046122209</v>
      </c>
      <c r="I85" s="157"/>
    </row>
    <row r="86" spans="1:9" ht="15">
      <c r="A86" s="164"/>
      <c r="B86" s="165">
        <f>DATE(15,8,1)</f>
        <v>5692</v>
      </c>
      <c r="C86" s="226">
        <v>48319229.49</v>
      </c>
      <c r="D86" s="226">
        <v>4722095.17</v>
      </c>
      <c r="E86" s="226">
        <v>5028824.28</v>
      </c>
      <c r="F86" s="166">
        <f t="shared" si="15"/>
        <v>-0.06099419922463473</v>
      </c>
      <c r="G86" s="241">
        <f t="shared" si="16"/>
        <v>0.097727037865479</v>
      </c>
      <c r="H86" s="242">
        <f t="shared" si="17"/>
        <v>0.902272962134521</v>
      </c>
      <c r="I86" s="157"/>
    </row>
    <row r="87" spans="1:9" ht="15">
      <c r="A87" s="164"/>
      <c r="B87" s="165">
        <f>DATE(15,9,1)</f>
        <v>5723</v>
      </c>
      <c r="C87" s="226">
        <v>45505726.4</v>
      </c>
      <c r="D87" s="226">
        <v>4560800.26</v>
      </c>
      <c r="E87" s="226">
        <v>4179634.68</v>
      </c>
      <c r="F87" s="166">
        <f t="shared" si="15"/>
        <v>0.09119590805960094</v>
      </c>
      <c r="G87" s="241">
        <f t="shared" si="16"/>
        <v>0.10022475457066872</v>
      </c>
      <c r="H87" s="242">
        <f t="shared" si="17"/>
        <v>0.8997752454293313</v>
      </c>
      <c r="I87" s="157"/>
    </row>
    <row r="88" spans="1:9" ht="15">
      <c r="A88" s="164"/>
      <c r="B88" s="165">
        <f>DATE(15,10,1)</f>
        <v>5753</v>
      </c>
      <c r="C88" s="226">
        <v>44542526.96</v>
      </c>
      <c r="D88" s="226">
        <v>4692084.33</v>
      </c>
      <c r="E88" s="226">
        <v>4484784.1</v>
      </c>
      <c r="F88" s="166">
        <f t="shared" si="15"/>
        <v>0.0462230121623916</v>
      </c>
      <c r="G88" s="241">
        <f t="shared" si="16"/>
        <v>0.10533942841216838</v>
      </c>
      <c r="H88" s="242">
        <f t="shared" si="17"/>
        <v>0.8946605715878316</v>
      </c>
      <c r="I88" s="157"/>
    </row>
    <row r="89" spans="1:9" ht="15">
      <c r="A89" s="164"/>
      <c r="B89" s="165">
        <f>DATE(15,11,1)</f>
        <v>5784</v>
      </c>
      <c r="C89" s="226">
        <v>45172662.67</v>
      </c>
      <c r="D89" s="226">
        <v>4220368.34</v>
      </c>
      <c r="E89" s="226">
        <v>4434332.43</v>
      </c>
      <c r="F89" s="166">
        <f t="shared" si="15"/>
        <v>-0.048251702680757264</v>
      </c>
      <c r="G89" s="241">
        <f t="shared" si="16"/>
        <v>0.09342748668217922</v>
      </c>
      <c r="H89" s="242">
        <f t="shared" si="17"/>
        <v>0.9065725133178207</v>
      </c>
      <c r="I89" s="157"/>
    </row>
    <row r="90" spans="1:9" ht="15">
      <c r="A90" s="164"/>
      <c r="B90" s="165">
        <f>DATE(15,12,1)</f>
        <v>5814</v>
      </c>
      <c r="C90" s="226">
        <v>47894690.21</v>
      </c>
      <c r="D90" s="226">
        <v>4871270.14</v>
      </c>
      <c r="E90" s="226">
        <v>4523055.2</v>
      </c>
      <c r="F90" s="166">
        <f t="shared" si="15"/>
        <v>0.07698666600398762</v>
      </c>
      <c r="G90" s="241">
        <f t="shared" si="16"/>
        <v>0.10170793711455973</v>
      </c>
      <c r="H90" s="242">
        <f t="shared" si="17"/>
        <v>0.8982920628854403</v>
      </c>
      <c r="I90" s="157"/>
    </row>
    <row r="91" spans="1:9" ht="15">
      <c r="A91" s="164"/>
      <c r="B91" s="165">
        <f>DATE(16,1,1)</f>
        <v>5845</v>
      </c>
      <c r="C91" s="226">
        <v>44017462.12</v>
      </c>
      <c r="D91" s="226">
        <v>4503625.18</v>
      </c>
      <c r="E91" s="226">
        <v>4705964.15</v>
      </c>
      <c r="F91" s="166">
        <f t="shared" si="15"/>
        <v>-0.0429962837689702</v>
      </c>
      <c r="G91" s="241">
        <f t="shared" si="16"/>
        <v>0.10231451253873425</v>
      </c>
      <c r="H91" s="242">
        <f t="shared" si="17"/>
        <v>0.8976854874612658</v>
      </c>
      <c r="I91" s="157"/>
    </row>
    <row r="92" spans="1:9" ht="15">
      <c r="A92" s="164"/>
      <c r="B92" s="165">
        <f>DATE(16,2,1)</f>
        <v>5876</v>
      </c>
      <c r="C92" s="226">
        <v>49626543.66</v>
      </c>
      <c r="D92" s="226">
        <v>5158651.24</v>
      </c>
      <c r="E92" s="226">
        <v>4729079.1</v>
      </c>
      <c r="F92" s="166">
        <f t="shared" si="15"/>
        <v>0.09083631948554226</v>
      </c>
      <c r="G92" s="241">
        <f t="shared" si="16"/>
        <v>0.10394943632066761</v>
      </c>
      <c r="H92" s="242">
        <f t="shared" si="17"/>
        <v>0.8960505636793323</v>
      </c>
      <c r="I92" s="157"/>
    </row>
    <row r="93" spans="1:9" ht="15">
      <c r="A93" s="164"/>
      <c r="B93" s="165">
        <f>DATE(16,3,1)</f>
        <v>5905</v>
      </c>
      <c r="C93" s="226">
        <v>51564035.49</v>
      </c>
      <c r="D93" s="226">
        <v>5306864.42</v>
      </c>
      <c r="E93" s="226">
        <v>5068490.68</v>
      </c>
      <c r="F93" s="166">
        <f t="shared" si="15"/>
        <v>0.04703051757411937</v>
      </c>
      <c r="G93" s="241">
        <f t="shared" si="16"/>
        <v>0.10291794211935136</v>
      </c>
      <c r="H93" s="242">
        <f t="shared" si="17"/>
        <v>0.8970820578806487</v>
      </c>
      <c r="I93" s="157"/>
    </row>
    <row r="94" spans="1:9" ht="15">
      <c r="A94" s="164"/>
      <c r="B94" s="165">
        <f>DATE(16,4,1)</f>
        <v>5936</v>
      </c>
      <c r="C94" s="226">
        <v>48240191.55</v>
      </c>
      <c r="D94" s="226">
        <v>5139789.08</v>
      </c>
      <c r="E94" s="226">
        <v>4475673.54</v>
      </c>
      <c r="F94" s="166">
        <f t="shared" si="15"/>
        <v>0.1483833738239988</v>
      </c>
      <c r="G94" s="241">
        <f t="shared" si="16"/>
        <v>0.10654578505710764</v>
      </c>
      <c r="H94" s="242">
        <f t="shared" si="17"/>
        <v>0.8934542149428923</v>
      </c>
      <c r="I94" s="157"/>
    </row>
    <row r="95" spans="1:9" ht="15">
      <c r="A95" s="164"/>
      <c r="B95" s="165">
        <f>DATE(16,5,1)</f>
        <v>5966</v>
      </c>
      <c r="C95" s="226">
        <v>47555011.69</v>
      </c>
      <c r="D95" s="226">
        <v>4920197.15</v>
      </c>
      <c r="E95" s="226">
        <v>4785110.76</v>
      </c>
      <c r="F95" s="166">
        <f t="shared" si="15"/>
        <v>0.028230567018264922</v>
      </c>
      <c r="G95" s="241">
        <f t="shared" si="16"/>
        <v>0.10346327285278815</v>
      </c>
      <c r="H95" s="242">
        <f t="shared" si="17"/>
        <v>0.8965367271472119</v>
      </c>
      <c r="I95" s="157"/>
    </row>
    <row r="96" spans="1:9" ht="15">
      <c r="A96" s="164"/>
      <c r="B96" s="165">
        <f>DATE(16,6,1)</f>
        <v>5997</v>
      </c>
      <c r="C96" s="226">
        <v>44745625.97</v>
      </c>
      <c r="D96" s="226">
        <v>4586927.47</v>
      </c>
      <c r="E96" s="226">
        <v>4498049.57</v>
      </c>
      <c r="F96" s="166">
        <f t="shared" si="15"/>
        <v>0.01975920865629754</v>
      </c>
      <c r="G96" s="241">
        <f t="shared" si="16"/>
        <v>0.10251119233587962</v>
      </c>
      <c r="H96" s="242">
        <f t="shared" si="17"/>
        <v>0.8974888076641204</v>
      </c>
      <c r="I96" s="157"/>
    </row>
    <row r="97" spans="1:9" ht="15" thickBot="1">
      <c r="A97" s="167"/>
      <c r="B97" s="165"/>
      <c r="C97" s="226"/>
      <c r="D97" s="226"/>
      <c r="E97" s="226"/>
      <c r="F97" s="166"/>
      <c r="G97" s="241"/>
      <c r="H97" s="242"/>
      <c r="I97" s="157"/>
    </row>
    <row r="98" spans="1:9" ht="16.5" thickBot="1" thickTop="1">
      <c r="A98" s="174" t="s">
        <v>14</v>
      </c>
      <c r="B98" s="175"/>
      <c r="C98" s="228">
        <f>SUM(C85:C97)</f>
        <v>565535804.0400001</v>
      </c>
      <c r="D98" s="230">
        <f>SUM(D85:D97)</f>
        <v>57581151.059999995</v>
      </c>
      <c r="E98" s="271">
        <f>SUM(E85:E97)</f>
        <v>55542794.64</v>
      </c>
      <c r="F98" s="272">
        <f>(+D98-E98)/E98</f>
        <v>0.03669884515555219</v>
      </c>
      <c r="G98" s="249">
        <f>D98/C98</f>
        <v>0.1018169860310512</v>
      </c>
      <c r="H98" s="270">
        <f>1-G98</f>
        <v>0.8981830139689488</v>
      </c>
      <c r="I98" s="157"/>
    </row>
    <row r="99" spans="1:9" ht="15" thickTop="1">
      <c r="A99" s="167"/>
      <c r="B99" s="168"/>
      <c r="C99" s="226"/>
      <c r="D99" s="226"/>
      <c r="E99" s="226"/>
      <c r="F99" s="166"/>
      <c r="G99" s="241"/>
      <c r="H99" s="242"/>
      <c r="I99" s="157"/>
    </row>
    <row r="100" spans="1:9" ht="15">
      <c r="A100" s="164" t="s">
        <v>17</v>
      </c>
      <c r="B100" s="165">
        <f>DATE(15,7,1)</f>
        <v>5661</v>
      </c>
      <c r="C100" s="226">
        <v>58939783.88</v>
      </c>
      <c r="D100" s="226">
        <v>6466668.75</v>
      </c>
      <c r="E100" s="226">
        <v>6042752.33</v>
      </c>
      <c r="F100" s="166">
        <f aca="true" t="shared" si="18" ref="F100:F111">(+D100-E100)/E100</f>
        <v>0.07015287022362539</v>
      </c>
      <c r="G100" s="241">
        <f aca="true" t="shared" si="19" ref="G100:G111">D100/C100</f>
        <v>0.10971653311735896</v>
      </c>
      <c r="H100" s="242">
        <f aca="true" t="shared" si="20" ref="H100:H111">1-G100</f>
        <v>0.890283466882641</v>
      </c>
      <c r="I100" s="157"/>
    </row>
    <row r="101" spans="1:9" ht="15">
      <c r="A101" s="164"/>
      <c r="B101" s="165">
        <f>DATE(15,8,1)</f>
        <v>5692</v>
      </c>
      <c r="C101" s="226">
        <v>53237340.58</v>
      </c>
      <c r="D101" s="226">
        <v>6052086.67</v>
      </c>
      <c r="E101" s="226">
        <v>6053208.76</v>
      </c>
      <c r="F101" s="166">
        <f t="shared" si="18"/>
        <v>-0.00018537110555556837</v>
      </c>
      <c r="G101" s="241">
        <f t="shared" si="19"/>
        <v>0.11368123584057511</v>
      </c>
      <c r="H101" s="242">
        <f t="shared" si="20"/>
        <v>0.8863187641594249</v>
      </c>
      <c r="I101" s="157"/>
    </row>
    <row r="102" spans="1:9" ht="15">
      <c r="A102" s="164"/>
      <c r="B102" s="165">
        <f>DATE(15,9,1)</f>
        <v>5723</v>
      </c>
      <c r="C102" s="226">
        <v>50090480.17</v>
      </c>
      <c r="D102" s="226">
        <v>5516436.27</v>
      </c>
      <c r="E102" s="226">
        <v>5550911.7</v>
      </c>
      <c r="F102" s="166">
        <f t="shared" si="18"/>
        <v>-0.0062107689444962045</v>
      </c>
      <c r="G102" s="241">
        <f t="shared" si="19"/>
        <v>0.1101294348003452</v>
      </c>
      <c r="H102" s="242">
        <f t="shared" si="20"/>
        <v>0.8898705651996548</v>
      </c>
      <c r="I102" s="157"/>
    </row>
    <row r="103" spans="1:9" ht="15">
      <c r="A103" s="164"/>
      <c r="B103" s="165">
        <f>DATE(15,10,1)</f>
        <v>5753</v>
      </c>
      <c r="C103" s="226">
        <v>51893356.63</v>
      </c>
      <c r="D103" s="226">
        <v>5721215.5</v>
      </c>
      <c r="E103" s="226">
        <v>5944105.8</v>
      </c>
      <c r="F103" s="166">
        <f t="shared" si="18"/>
        <v>-0.03749770066340337</v>
      </c>
      <c r="G103" s="241">
        <f t="shared" si="19"/>
        <v>0.11024947838299046</v>
      </c>
      <c r="H103" s="242">
        <f t="shared" si="20"/>
        <v>0.8897505216170095</v>
      </c>
      <c r="I103" s="157"/>
    </row>
    <row r="104" spans="1:9" ht="15">
      <c r="A104" s="164"/>
      <c r="B104" s="165">
        <f>DATE(15,11,1)</f>
        <v>5784</v>
      </c>
      <c r="C104" s="226">
        <v>48754824.93</v>
      </c>
      <c r="D104" s="226">
        <v>5676052.34</v>
      </c>
      <c r="E104" s="226">
        <v>5844944.52</v>
      </c>
      <c r="F104" s="166">
        <f t="shared" si="18"/>
        <v>-0.0288954291049455</v>
      </c>
      <c r="G104" s="241">
        <f t="shared" si="19"/>
        <v>0.1164203204123781</v>
      </c>
      <c r="H104" s="242">
        <f t="shared" si="20"/>
        <v>0.8835796795876218</v>
      </c>
      <c r="I104" s="157"/>
    </row>
    <row r="105" spans="1:9" ht="15">
      <c r="A105" s="164"/>
      <c r="B105" s="165">
        <f>DATE(15,12,1)</f>
        <v>5814</v>
      </c>
      <c r="C105" s="226">
        <v>53996769.12</v>
      </c>
      <c r="D105" s="226">
        <v>6094017.4</v>
      </c>
      <c r="E105" s="226">
        <v>6290788.33</v>
      </c>
      <c r="F105" s="166">
        <f t="shared" si="18"/>
        <v>-0.0312792164793756</v>
      </c>
      <c r="G105" s="241">
        <f t="shared" si="19"/>
        <v>0.11285892654904832</v>
      </c>
      <c r="H105" s="242">
        <f t="shared" si="20"/>
        <v>0.8871410734509517</v>
      </c>
      <c r="I105" s="157"/>
    </row>
    <row r="106" spans="1:9" ht="15">
      <c r="A106" s="164"/>
      <c r="B106" s="165">
        <f>DATE(16,1,1)</f>
        <v>5845</v>
      </c>
      <c r="C106" s="226">
        <v>49987345.5</v>
      </c>
      <c r="D106" s="226">
        <v>5697537.44</v>
      </c>
      <c r="E106" s="226">
        <v>6008621.59</v>
      </c>
      <c r="F106" s="166">
        <f t="shared" si="18"/>
        <v>-0.05177296412170956</v>
      </c>
      <c r="G106" s="241">
        <f t="shared" si="19"/>
        <v>0.11397959589592531</v>
      </c>
      <c r="H106" s="242">
        <f t="shared" si="20"/>
        <v>0.8860204041040747</v>
      </c>
      <c r="I106" s="157"/>
    </row>
    <row r="107" spans="1:9" ht="15">
      <c r="A107" s="164"/>
      <c r="B107" s="165">
        <f>DATE(16,2,1)</f>
        <v>5876</v>
      </c>
      <c r="C107" s="226">
        <v>59114075.73</v>
      </c>
      <c r="D107" s="226">
        <v>6667901.15</v>
      </c>
      <c r="E107" s="226">
        <v>6384718.51</v>
      </c>
      <c r="F107" s="166">
        <f t="shared" si="18"/>
        <v>0.0443531910696562</v>
      </c>
      <c r="G107" s="241">
        <f t="shared" si="19"/>
        <v>0.11279718184980579</v>
      </c>
      <c r="H107" s="242">
        <f t="shared" si="20"/>
        <v>0.8872028181501942</v>
      </c>
      <c r="I107" s="157"/>
    </row>
    <row r="108" spans="1:9" ht="15">
      <c r="A108" s="164"/>
      <c r="B108" s="165">
        <f>DATE(16,3,1)</f>
        <v>5905</v>
      </c>
      <c r="C108" s="226">
        <v>58012057.15</v>
      </c>
      <c r="D108" s="226">
        <v>6560396.25</v>
      </c>
      <c r="E108" s="226">
        <v>6835787.04</v>
      </c>
      <c r="F108" s="166">
        <f t="shared" si="18"/>
        <v>-0.04028662513746187</v>
      </c>
      <c r="G108" s="241">
        <f t="shared" si="19"/>
        <v>0.11308677147988365</v>
      </c>
      <c r="H108" s="242">
        <f t="shared" si="20"/>
        <v>0.8869132285201163</v>
      </c>
      <c r="I108" s="157"/>
    </row>
    <row r="109" spans="1:9" ht="15">
      <c r="A109" s="164"/>
      <c r="B109" s="165">
        <f>DATE(16,4,1)</f>
        <v>5936</v>
      </c>
      <c r="C109" s="226">
        <v>56824559.2</v>
      </c>
      <c r="D109" s="226">
        <v>6393845.15</v>
      </c>
      <c r="E109" s="226">
        <v>6122006.99</v>
      </c>
      <c r="F109" s="166">
        <f t="shared" si="18"/>
        <v>0.04440343835674061</v>
      </c>
      <c r="G109" s="241">
        <f t="shared" si="19"/>
        <v>0.1125190452863205</v>
      </c>
      <c r="H109" s="242">
        <f t="shared" si="20"/>
        <v>0.8874809547136795</v>
      </c>
      <c r="I109" s="157"/>
    </row>
    <row r="110" spans="1:9" ht="15">
      <c r="A110" s="164"/>
      <c r="B110" s="165">
        <f>DATE(16,5,1)</f>
        <v>5966</v>
      </c>
      <c r="C110" s="226">
        <v>55584804.21</v>
      </c>
      <c r="D110" s="226">
        <v>6132535.09</v>
      </c>
      <c r="E110" s="226">
        <v>6512075.23</v>
      </c>
      <c r="F110" s="166">
        <f t="shared" si="18"/>
        <v>-0.05828251772208113</v>
      </c>
      <c r="G110" s="241">
        <f t="shared" si="19"/>
        <v>0.11032754683872259</v>
      </c>
      <c r="H110" s="242">
        <f t="shared" si="20"/>
        <v>0.8896724531612774</v>
      </c>
      <c r="I110" s="157"/>
    </row>
    <row r="111" spans="1:9" ht="15">
      <c r="A111" s="164"/>
      <c r="B111" s="165">
        <f>DATE(16,6,1)</f>
        <v>5997</v>
      </c>
      <c r="C111" s="226">
        <v>51954720.91</v>
      </c>
      <c r="D111" s="226">
        <v>5629699.89</v>
      </c>
      <c r="E111" s="226">
        <v>5819156.33</v>
      </c>
      <c r="F111" s="166">
        <f t="shared" si="18"/>
        <v>-0.032557372453336446</v>
      </c>
      <c r="G111" s="241">
        <f t="shared" si="19"/>
        <v>0.10835781217557117</v>
      </c>
      <c r="H111" s="242">
        <f t="shared" si="20"/>
        <v>0.8916421878244288</v>
      </c>
      <c r="I111" s="157"/>
    </row>
    <row r="112" spans="1:9" ht="15" thickBot="1">
      <c r="A112" s="167"/>
      <c r="B112" s="165"/>
      <c r="C112" s="226"/>
      <c r="D112" s="226"/>
      <c r="E112" s="226"/>
      <c r="F112" s="166"/>
      <c r="G112" s="241"/>
      <c r="H112" s="242"/>
      <c r="I112" s="157"/>
    </row>
    <row r="113" spans="1:9" ht="16.5" thickBot="1" thickTop="1">
      <c r="A113" s="174" t="s">
        <v>14</v>
      </c>
      <c r="B113" s="175"/>
      <c r="C113" s="228">
        <f>SUM(C100:C112)</f>
        <v>648390118.01</v>
      </c>
      <c r="D113" s="230">
        <f>SUM(D100:D112)</f>
        <v>72608391.89999999</v>
      </c>
      <c r="E113" s="271">
        <f>SUM(E100:E112)</f>
        <v>73409077.13</v>
      </c>
      <c r="F113" s="272">
        <f>(+D113-E113)/E113</f>
        <v>-0.010907169267120362</v>
      </c>
      <c r="G113" s="249">
        <f>D113/C113</f>
        <v>0.11198257018914061</v>
      </c>
      <c r="H113" s="270">
        <f>1-G113</f>
        <v>0.8880174298108594</v>
      </c>
      <c r="I113" s="157"/>
    </row>
    <row r="114" spans="1:9" ht="15" thickTop="1">
      <c r="A114" s="167"/>
      <c r="B114" s="168"/>
      <c r="C114" s="226"/>
      <c r="D114" s="226"/>
      <c r="E114" s="226"/>
      <c r="F114" s="166"/>
      <c r="G114" s="241"/>
      <c r="H114" s="242"/>
      <c r="I114" s="157"/>
    </row>
    <row r="115" spans="1:9" ht="15">
      <c r="A115" s="164" t="s">
        <v>68</v>
      </c>
      <c r="B115" s="165">
        <f>DATE(15,7,1)</f>
        <v>5661</v>
      </c>
      <c r="C115" s="226">
        <v>99262509.49</v>
      </c>
      <c r="D115" s="226">
        <v>8907974.58</v>
      </c>
      <c r="E115" s="226">
        <v>9639064.75</v>
      </c>
      <c r="F115" s="166">
        <f aca="true" t="shared" si="21" ref="F115:F126">(+D115-E115)/E115</f>
        <v>-0.07584658770966342</v>
      </c>
      <c r="G115" s="241">
        <f aca="true" t="shared" si="22" ref="G115:G126">D115/C115</f>
        <v>0.0897415814466933</v>
      </c>
      <c r="H115" s="242">
        <f aca="true" t="shared" si="23" ref="H115:H126">1-G115</f>
        <v>0.9102584185533067</v>
      </c>
      <c r="I115" s="157"/>
    </row>
    <row r="116" spans="1:9" ht="15">
      <c r="A116" s="164"/>
      <c r="B116" s="165">
        <f>DATE(15,8,1)</f>
        <v>5692</v>
      </c>
      <c r="C116" s="226">
        <v>90824537.94</v>
      </c>
      <c r="D116" s="226">
        <v>8711749.16</v>
      </c>
      <c r="E116" s="226">
        <v>10229616.31</v>
      </c>
      <c r="F116" s="166">
        <f t="shared" si="21"/>
        <v>-0.14837967564005344</v>
      </c>
      <c r="G116" s="241">
        <f t="shared" si="22"/>
        <v>0.0959184528497696</v>
      </c>
      <c r="H116" s="242">
        <f t="shared" si="23"/>
        <v>0.9040815471502304</v>
      </c>
      <c r="I116" s="157"/>
    </row>
    <row r="117" spans="1:9" ht="15">
      <c r="A117" s="164"/>
      <c r="B117" s="165">
        <f>DATE(15,9,1)</f>
        <v>5723</v>
      </c>
      <c r="C117" s="226">
        <v>99718269.5</v>
      </c>
      <c r="D117" s="226">
        <v>9830409.27</v>
      </c>
      <c r="E117" s="226">
        <v>9028912.84</v>
      </c>
      <c r="F117" s="166">
        <f t="shared" si="21"/>
        <v>0.08876998196828309</v>
      </c>
      <c r="G117" s="241">
        <f t="shared" si="22"/>
        <v>0.09858182777630331</v>
      </c>
      <c r="H117" s="242">
        <f t="shared" si="23"/>
        <v>0.9014181722236967</v>
      </c>
      <c r="I117" s="157"/>
    </row>
    <row r="118" spans="1:9" ht="15">
      <c r="A118" s="164"/>
      <c r="B118" s="165">
        <f>DATE(15,10,1)</f>
        <v>5753</v>
      </c>
      <c r="C118" s="226">
        <v>97189498.88</v>
      </c>
      <c r="D118" s="226">
        <v>9686593.04</v>
      </c>
      <c r="E118" s="226">
        <v>9235960.54</v>
      </c>
      <c r="F118" s="166">
        <f t="shared" si="21"/>
        <v>0.048791081127767574</v>
      </c>
      <c r="G118" s="241">
        <f t="shared" si="22"/>
        <v>0.09966707464928952</v>
      </c>
      <c r="H118" s="242">
        <f t="shared" si="23"/>
        <v>0.9003329253507105</v>
      </c>
      <c r="I118" s="157"/>
    </row>
    <row r="119" spans="1:9" ht="15">
      <c r="A119" s="164"/>
      <c r="B119" s="165">
        <f>DATE(15,11,1)</f>
        <v>5784</v>
      </c>
      <c r="C119" s="226">
        <v>84688702.34</v>
      </c>
      <c r="D119" s="226">
        <v>8407805.94</v>
      </c>
      <c r="E119" s="226">
        <v>8289760.87</v>
      </c>
      <c r="F119" s="166">
        <f t="shared" si="21"/>
        <v>0.01423986431589303</v>
      </c>
      <c r="G119" s="241">
        <f t="shared" si="22"/>
        <v>0.09927895584283668</v>
      </c>
      <c r="H119" s="242">
        <f t="shared" si="23"/>
        <v>0.9007210441571634</v>
      </c>
      <c r="I119" s="157"/>
    </row>
    <row r="120" spans="1:9" ht="15">
      <c r="A120" s="164"/>
      <c r="B120" s="165">
        <f>DATE(15,12,1)</f>
        <v>5814</v>
      </c>
      <c r="C120" s="226">
        <v>88832108.7</v>
      </c>
      <c r="D120" s="226">
        <v>8876724.26</v>
      </c>
      <c r="E120" s="226">
        <v>8425465.61</v>
      </c>
      <c r="F120" s="166">
        <f t="shared" si="21"/>
        <v>0.0535588976191905</v>
      </c>
      <c r="G120" s="241">
        <f t="shared" si="22"/>
        <v>0.0999269789933513</v>
      </c>
      <c r="H120" s="242">
        <f t="shared" si="23"/>
        <v>0.9000730210066487</v>
      </c>
      <c r="I120" s="157"/>
    </row>
    <row r="121" spans="1:9" ht="15">
      <c r="A121" s="164"/>
      <c r="B121" s="165">
        <f>DATE(16,1,1)</f>
        <v>5845</v>
      </c>
      <c r="C121" s="226">
        <v>90354626.73</v>
      </c>
      <c r="D121" s="226">
        <v>8550317.84</v>
      </c>
      <c r="E121" s="226">
        <v>8451863.57</v>
      </c>
      <c r="F121" s="166">
        <f t="shared" si="21"/>
        <v>0.011648823858144643</v>
      </c>
      <c r="G121" s="241">
        <f t="shared" si="22"/>
        <v>0.09463065865514865</v>
      </c>
      <c r="H121" s="242">
        <f t="shared" si="23"/>
        <v>0.9053693413448514</v>
      </c>
      <c r="I121" s="157"/>
    </row>
    <row r="122" spans="1:9" ht="15">
      <c r="A122" s="164"/>
      <c r="B122" s="165">
        <f>DATE(16,2,1)</f>
        <v>5876</v>
      </c>
      <c r="C122" s="226">
        <v>100037600.88</v>
      </c>
      <c r="D122" s="226">
        <v>9964915.7</v>
      </c>
      <c r="E122" s="226">
        <v>9072328.77</v>
      </c>
      <c r="F122" s="166">
        <f t="shared" si="21"/>
        <v>0.09838564635703781</v>
      </c>
      <c r="G122" s="241">
        <f t="shared" si="22"/>
        <v>0.09961170212341862</v>
      </c>
      <c r="H122" s="242">
        <f t="shared" si="23"/>
        <v>0.9003882978765814</v>
      </c>
      <c r="I122" s="157"/>
    </row>
    <row r="123" spans="1:9" ht="15">
      <c r="A123" s="164"/>
      <c r="B123" s="165">
        <f>DATE(16,3,1)</f>
        <v>5905</v>
      </c>
      <c r="C123" s="226">
        <v>99702216.89</v>
      </c>
      <c r="D123" s="226">
        <v>10111601.7</v>
      </c>
      <c r="E123" s="226">
        <v>9835373.59</v>
      </c>
      <c r="F123" s="166">
        <f t="shared" si="21"/>
        <v>0.028085167022109975</v>
      </c>
      <c r="G123" s="241">
        <f t="shared" si="22"/>
        <v>0.1014180227422223</v>
      </c>
      <c r="H123" s="242">
        <f t="shared" si="23"/>
        <v>0.8985819772577777</v>
      </c>
      <c r="I123" s="157"/>
    </row>
    <row r="124" spans="1:9" ht="15">
      <c r="A124" s="164"/>
      <c r="B124" s="165">
        <f>DATE(16,4,1)</f>
        <v>5936</v>
      </c>
      <c r="C124" s="226">
        <v>95048111.2</v>
      </c>
      <c r="D124" s="226">
        <v>9703002.96</v>
      </c>
      <c r="E124" s="226">
        <v>9054591.07</v>
      </c>
      <c r="F124" s="166">
        <f t="shared" si="21"/>
        <v>0.07161139415211609</v>
      </c>
      <c r="G124" s="241">
        <f t="shared" si="22"/>
        <v>0.10208517389244028</v>
      </c>
      <c r="H124" s="242">
        <f t="shared" si="23"/>
        <v>0.8979148261075597</v>
      </c>
      <c r="I124" s="157"/>
    </row>
    <row r="125" spans="1:9" ht="15">
      <c r="A125" s="164"/>
      <c r="B125" s="165">
        <f>DATE(16,5,1)</f>
        <v>5966</v>
      </c>
      <c r="C125" s="226">
        <v>87648198.22</v>
      </c>
      <c r="D125" s="226">
        <v>8846313.63</v>
      </c>
      <c r="E125" s="226">
        <v>9199729.07</v>
      </c>
      <c r="F125" s="166">
        <f t="shared" si="21"/>
        <v>-0.03841585304424617</v>
      </c>
      <c r="G125" s="241">
        <f t="shared" si="22"/>
        <v>0.10092978303781498</v>
      </c>
      <c r="H125" s="242">
        <f t="shared" si="23"/>
        <v>0.899070216962185</v>
      </c>
      <c r="I125" s="157"/>
    </row>
    <row r="126" spans="1:9" ht="15">
      <c r="A126" s="164"/>
      <c r="B126" s="165">
        <f>DATE(16,6,1)</f>
        <v>5997</v>
      </c>
      <c r="C126" s="226">
        <v>79655938.96</v>
      </c>
      <c r="D126" s="226">
        <v>7833030.06</v>
      </c>
      <c r="E126" s="226">
        <v>8134084.88</v>
      </c>
      <c r="F126" s="166">
        <f t="shared" si="21"/>
        <v>-0.03701151689973517</v>
      </c>
      <c r="G126" s="241">
        <f t="shared" si="22"/>
        <v>0.09833579469741022</v>
      </c>
      <c r="H126" s="242">
        <f t="shared" si="23"/>
        <v>0.9016642053025898</v>
      </c>
      <c r="I126" s="157"/>
    </row>
    <row r="127" spans="1:9" ht="15" thickBot="1">
      <c r="A127" s="167"/>
      <c r="B127" s="165"/>
      <c r="C127" s="226"/>
      <c r="D127" s="226"/>
      <c r="E127" s="226"/>
      <c r="F127" s="166"/>
      <c r="G127" s="241"/>
      <c r="H127" s="242"/>
      <c r="I127" s="157"/>
    </row>
    <row r="128" spans="1:9" ht="16.5" thickBot="1" thickTop="1">
      <c r="A128" s="174" t="s">
        <v>14</v>
      </c>
      <c r="B128" s="175"/>
      <c r="C128" s="228">
        <f>SUM(C115:C127)</f>
        <v>1112962319.73</v>
      </c>
      <c r="D128" s="230">
        <f>SUM(D115:D127)</f>
        <v>109430438.13999999</v>
      </c>
      <c r="E128" s="271">
        <f>SUM(E115:E127)</f>
        <v>108596751.86999997</v>
      </c>
      <c r="F128" s="176">
        <f>(+D128-E128)/E128</f>
        <v>0.007676898762110378</v>
      </c>
      <c r="G128" s="249">
        <f>D128/C128</f>
        <v>0.09832357861544437</v>
      </c>
      <c r="H128" s="270">
        <f>1-G128</f>
        <v>0.9016764213845556</v>
      </c>
      <c r="I128" s="157"/>
    </row>
    <row r="129" spans="1:9" ht="15" thickTop="1">
      <c r="A129" s="167"/>
      <c r="B129" s="179"/>
      <c r="C129" s="229"/>
      <c r="D129" s="229"/>
      <c r="E129" s="229"/>
      <c r="F129" s="180"/>
      <c r="G129" s="247"/>
      <c r="H129" s="248"/>
      <c r="I129" s="157"/>
    </row>
    <row r="130" spans="1:9" ht="15">
      <c r="A130" s="164" t="s">
        <v>18</v>
      </c>
      <c r="B130" s="165">
        <f>DATE(15,7,1)</f>
        <v>5661</v>
      </c>
      <c r="C130" s="226">
        <v>160408761.56</v>
      </c>
      <c r="D130" s="226">
        <v>14747580.1</v>
      </c>
      <c r="E130" s="226">
        <v>15576345.16</v>
      </c>
      <c r="F130" s="166">
        <f aca="true" t="shared" si="24" ref="F130:F141">(+D130-E130)/E130</f>
        <v>-0.05320664452969791</v>
      </c>
      <c r="G130" s="241">
        <f aca="true" t="shared" si="25" ref="G130:G141">D130/C130</f>
        <v>0.09193749740710859</v>
      </c>
      <c r="H130" s="242">
        <f aca="true" t="shared" si="26" ref="H130:H141">1-G130</f>
        <v>0.9080625025928915</v>
      </c>
      <c r="I130" s="157"/>
    </row>
    <row r="131" spans="1:9" ht="15">
      <c r="A131" s="164"/>
      <c r="B131" s="165">
        <f>DATE(15,8,1)</f>
        <v>5692</v>
      </c>
      <c r="C131" s="226">
        <v>162276060.61</v>
      </c>
      <c r="D131" s="226">
        <v>14875834.11</v>
      </c>
      <c r="E131" s="226">
        <v>15506824.22</v>
      </c>
      <c r="F131" s="166">
        <f t="shared" si="24"/>
        <v>-0.04069112418171213</v>
      </c>
      <c r="G131" s="241">
        <f t="shared" si="25"/>
        <v>0.09166992379579184</v>
      </c>
      <c r="H131" s="242">
        <f t="shared" si="26"/>
        <v>0.9083300762042081</v>
      </c>
      <c r="I131" s="157"/>
    </row>
    <row r="132" spans="1:9" ht="15">
      <c r="A132" s="164"/>
      <c r="B132" s="165">
        <f>DATE(15,9,1)</f>
        <v>5723</v>
      </c>
      <c r="C132" s="226">
        <v>149694908.04</v>
      </c>
      <c r="D132" s="226">
        <v>13845452.77</v>
      </c>
      <c r="E132" s="226">
        <v>12960092.39</v>
      </c>
      <c r="F132" s="166">
        <f t="shared" si="24"/>
        <v>0.06831435713244934</v>
      </c>
      <c r="G132" s="241">
        <f t="shared" si="25"/>
        <v>0.09249114048889595</v>
      </c>
      <c r="H132" s="242">
        <f t="shared" si="26"/>
        <v>0.907508859511104</v>
      </c>
      <c r="I132" s="157"/>
    </row>
    <row r="133" spans="1:9" ht="15">
      <c r="A133" s="164"/>
      <c r="B133" s="165">
        <f>DATE(15,10,1)</f>
        <v>5753</v>
      </c>
      <c r="C133" s="226">
        <v>155456920.78</v>
      </c>
      <c r="D133" s="226">
        <v>13974369.84</v>
      </c>
      <c r="E133" s="226">
        <v>13690052.84</v>
      </c>
      <c r="F133" s="166">
        <f t="shared" si="24"/>
        <v>0.020768144821857387</v>
      </c>
      <c r="G133" s="241">
        <f t="shared" si="25"/>
        <v>0.08989223361613016</v>
      </c>
      <c r="H133" s="242">
        <f t="shared" si="26"/>
        <v>0.9101077663838698</v>
      </c>
      <c r="I133" s="157"/>
    </row>
    <row r="134" spans="1:9" ht="15">
      <c r="A134" s="164"/>
      <c r="B134" s="165">
        <f>DATE(15,11,1)</f>
        <v>5784</v>
      </c>
      <c r="C134" s="226">
        <v>146221684.11</v>
      </c>
      <c r="D134" s="226">
        <v>13139935.22</v>
      </c>
      <c r="E134" s="226">
        <v>12590815.7</v>
      </c>
      <c r="F134" s="166">
        <f t="shared" si="24"/>
        <v>0.043612704139573855</v>
      </c>
      <c r="G134" s="241">
        <f t="shared" si="25"/>
        <v>0.08986310956530262</v>
      </c>
      <c r="H134" s="242">
        <f t="shared" si="26"/>
        <v>0.9101368904346974</v>
      </c>
      <c r="I134" s="157"/>
    </row>
    <row r="135" spans="1:9" ht="15">
      <c r="A135" s="164"/>
      <c r="B135" s="165">
        <f>DATE(15,12,1)</f>
        <v>5814</v>
      </c>
      <c r="C135" s="226">
        <v>157103723.38</v>
      </c>
      <c r="D135" s="226">
        <v>14232617.64</v>
      </c>
      <c r="E135" s="226">
        <v>13628228.8</v>
      </c>
      <c r="F135" s="166">
        <f t="shared" si="24"/>
        <v>0.044348304454647824</v>
      </c>
      <c r="G135" s="241">
        <f t="shared" si="25"/>
        <v>0.09059376400376183</v>
      </c>
      <c r="H135" s="242">
        <f t="shared" si="26"/>
        <v>0.9094062359962382</v>
      </c>
      <c r="I135" s="157"/>
    </row>
    <row r="136" spans="1:9" ht="15">
      <c r="A136" s="164"/>
      <c r="B136" s="165">
        <f>DATE(16,1,1)</f>
        <v>5845</v>
      </c>
      <c r="C136" s="226">
        <v>157376541.31</v>
      </c>
      <c r="D136" s="226">
        <v>13927506.22</v>
      </c>
      <c r="E136" s="226">
        <v>14350682.71</v>
      </c>
      <c r="F136" s="166">
        <f t="shared" si="24"/>
        <v>-0.029488247949703308</v>
      </c>
      <c r="G136" s="241">
        <f t="shared" si="25"/>
        <v>0.08849798136410703</v>
      </c>
      <c r="H136" s="242">
        <f t="shared" si="26"/>
        <v>0.911502018635893</v>
      </c>
      <c r="I136" s="157"/>
    </row>
    <row r="137" spans="1:9" ht="15">
      <c r="A137" s="164"/>
      <c r="B137" s="165">
        <f>DATE(16,2,1)</f>
        <v>5876</v>
      </c>
      <c r="C137" s="226">
        <v>163668139.86</v>
      </c>
      <c r="D137" s="226">
        <v>14640857.35</v>
      </c>
      <c r="E137" s="226">
        <v>13664742.51</v>
      </c>
      <c r="F137" s="166">
        <f t="shared" si="24"/>
        <v>0.07143309427789575</v>
      </c>
      <c r="G137" s="241">
        <f t="shared" si="25"/>
        <v>0.08945453502754802</v>
      </c>
      <c r="H137" s="242">
        <f t="shared" si="26"/>
        <v>0.910545464972452</v>
      </c>
      <c r="I137" s="157"/>
    </row>
    <row r="138" spans="1:9" ht="15">
      <c r="A138" s="164"/>
      <c r="B138" s="165">
        <f>DATE(16,3,1)</f>
        <v>5905</v>
      </c>
      <c r="C138" s="226">
        <v>169706297.95</v>
      </c>
      <c r="D138" s="226">
        <v>15704575.29</v>
      </c>
      <c r="E138" s="226">
        <v>15101656.65</v>
      </c>
      <c r="F138" s="166">
        <f t="shared" si="24"/>
        <v>0.03992400661552577</v>
      </c>
      <c r="G138" s="241">
        <f t="shared" si="25"/>
        <v>0.09253973175837579</v>
      </c>
      <c r="H138" s="242">
        <f t="shared" si="26"/>
        <v>0.9074602682416242</v>
      </c>
      <c r="I138" s="157"/>
    </row>
    <row r="139" spans="1:9" ht="15">
      <c r="A139" s="164"/>
      <c r="B139" s="165">
        <f>DATE(16,4,1)</f>
        <v>5936</v>
      </c>
      <c r="C139" s="226">
        <v>159496256.01</v>
      </c>
      <c r="D139" s="226">
        <v>14585918.03</v>
      </c>
      <c r="E139" s="226">
        <v>14553113.48</v>
      </c>
      <c r="F139" s="166">
        <f t="shared" si="24"/>
        <v>0.002254125898563314</v>
      </c>
      <c r="G139" s="241">
        <f t="shared" si="25"/>
        <v>0.09144990857393857</v>
      </c>
      <c r="H139" s="242">
        <f t="shared" si="26"/>
        <v>0.9085500914260615</v>
      </c>
      <c r="I139" s="157"/>
    </row>
    <row r="140" spans="1:9" ht="15">
      <c r="A140" s="164"/>
      <c r="B140" s="165">
        <f>DATE(16,5,1)</f>
        <v>5966</v>
      </c>
      <c r="C140" s="226">
        <v>161989796.71</v>
      </c>
      <c r="D140" s="226">
        <v>14633547.18</v>
      </c>
      <c r="E140" s="226">
        <v>15829770.46</v>
      </c>
      <c r="F140" s="166">
        <f t="shared" si="24"/>
        <v>-0.07556794857024106</v>
      </c>
      <c r="G140" s="241">
        <f t="shared" si="25"/>
        <v>0.09033622781932066</v>
      </c>
      <c r="H140" s="242">
        <f t="shared" si="26"/>
        <v>0.9096637721806793</v>
      </c>
      <c r="I140" s="157"/>
    </row>
    <row r="141" spans="1:9" ht="15">
      <c r="A141" s="164"/>
      <c r="B141" s="165">
        <f>DATE(16,6,1)</f>
        <v>5997</v>
      </c>
      <c r="C141" s="226">
        <v>139887073.43</v>
      </c>
      <c r="D141" s="226">
        <v>13212222.9</v>
      </c>
      <c r="E141" s="226">
        <v>13194426.98</v>
      </c>
      <c r="F141" s="166">
        <f t="shared" si="24"/>
        <v>0.0013487451957538458</v>
      </c>
      <c r="G141" s="241">
        <f t="shared" si="25"/>
        <v>0.09444920517699903</v>
      </c>
      <c r="H141" s="242">
        <f t="shared" si="26"/>
        <v>0.9055507948230009</v>
      </c>
      <c r="I141" s="157"/>
    </row>
    <row r="142" spans="1:9" ht="15.75" customHeight="1" thickBot="1">
      <c r="A142" s="164"/>
      <c r="B142" s="165"/>
      <c r="C142" s="226"/>
      <c r="D142" s="226"/>
      <c r="E142" s="226"/>
      <c r="F142" s="166"/>
      <c r="G142" s="241"/>
      <c r="H142" s="242"/>
      <c r="I142" s="157"/>
    </row>
    <row r="143" spans="1:9" ht="16.5" thickBot="1" thickTop="1">
      <c r="A143" s="174" t="s">
        <v>14</v>
      </c>
      <c r="B143" s="181"/>
      <c r="C143" s="228">
        <f>SUM(C130:C142)</f>
        <v>1883286163.7500002</v>
      </c>
      <c r="D143" s="228">
        <f>SUM(D130:D142)</f>
        <v>171520416.65</v>
      </c>
      <c r="E143" s="228">
        <f>SUM(E130:E142)</f>
        <v>170646751.9</v>
      </c>
      <c r="F143" s="176">
        <f>(+D143-E143)/E143</f>
        <v>0.005119726805652724</v>
      </c>
      <c r="G143" s="245">
        <f>D143/C143</f>
        <v>0.09107506864940189</v>
      </c>
      <c r="H143" s="246">
        <f>1-G143</f>
        <v>0.9089249313505982</v>
      </c>
      <c r="I143" s="157"/>
    </row>
    <row r="144" spans="1:9" ht="15" thickTop="1">
      <c r="A144" s="171"/>
      <c r="B144" s="172"/>
      <c r="C144" s="227"/>
      <c r="D144" s="227"/>
      <c r="E144" s="227"/>
      <c r="F144" s="173"/>
      <c r="G144" s="243"/>
      <c r="H144" s="244"/>
      <c r="I144" s="157"/>
    </row>
    <row r="145" spans="1:9" ht="15">
      <c r="A145" s="164" t="s">
        <v>58</v>
      </c>
      <c r="B145" s="165">
        <f>DATE(15,7,1)</f>
        <v>5661</v>
      </c>
      <c r="C145" s="226">
        <v>182387045.35</v>
      </c>
      <c r="D145" s="226">
        <v>16357063.57</v>
      </c>
      <c r="E145" s="226">
        <v>15819821.05</v>
      </c>
      <c r="F145" s="166">
        <f aca="true" t="shared" si="27" ref="F145:F156">(+D145-E145)/E145</f>
        <v>0.03396008831591679</v>
      </c>
      <c r="G145" s="241">
        <f aca="true" t="shared" si="28" ref="G145:G156">D145/C145</f>
        <v>0.08968325320809305</v>
      </c>
      <c r="H145" s="242">
        <f aca="true" t="shared" si="29" ref="H145:H156">1-G145</f>
        <v>0.910316746791907</v>
      </c>
      <c r="I145" s="157"/>
    </row>
    <row r="146" spans="1:9" ht="15">
      <c r="A146" s="164"/>
      <c r="B146" s="165">
        <f>DATE(15,8,1)</f>
        <v>5692</v>
      </c>
      <c r="C146" s="226">
        <v>188147645.95</v>
      </c>
      <c r="D146" s="226">
        <v>16828875.81</v>
      </c>
      <c r="E146" s="226">
        <v>17009683.77</v>
      </c>
      <c r="F146" s="166">
        <f t="shared" si="27"/>
        <v>-0.010629707315246631</v>
      </c>
      <c r="G146" s="241">
        <f t="shared" si="28"/>
        <v>0.08944505111943975</v>
      </c>
      <c r="H146" s="242">
        <f t="shared" si="29"/>
        <v>0.9105549488805602</v>
      </c>
      <c r="I146" s="157"/>
    </row>
    <row r="147" spans="1:9" ht="15">
      <c r="A147" s="164"/>
      <c r="B147" s="165">
        <f>DATE(15,9,1)</f>
        <v>5723</v>
      </c>
      <c r="C147" s="226">
        <v>174524929.56</v>
      </c>
      <c r="D147" s="226">
        <v>15428730.82</v>
      </c>
      <c r="E147" s="226">
        <v>14534184.86</v>
      </c>
      <c r="F147" s="166">
        <f t="shared" si="27"/>
        <v>0.06154772136288907</v>
      </c>
      <c r="G147" s="241">
        <f t="shared" si="28"/>
        <v>0.08840416586270988</v>
      </c>
      <c r="H147" s="242">
        <f t="shared" si="29"/>
        <v>0.9115958341372901</v>
      </c>
      <c r="I147" s="157"/>
    </row>
    <row r="148" spans="1:9" ht="15">
      <c r="A148" s="164"/>
      <c r="B148" s="165">
        <f>DATE(15,10,1)</f>
        <v>5753</v>
      </c>
      <c r="C148" s="226">
        <v>191173360.2</v>
      </c>
      <c r="D148" s="226">
        <v>17395367.65</v>
      </c>
      <c r="E148" s="226">
        <v>15429362.82</v>
      </c>
      <c r="F148" s="166">
        <f t="shared" si="27"/>
        <v>0.1274197031293868</v>
      </c>
      <c r="G148" s="241">
        <f t="shared" si="28"/>
        <v>0.09099263428650034</v>
      </c>
      <c r="H148" s="242">
        <f t="shared" si="29"/>
        <v>0.9090073657134996</v>
      </c>
      <c r="I148" s="157"/>
    </row>
    <row r="149" spans="1:9" ht="15">
      <c r="A149" s="164"/>
      <c r="B149" s="165">
        <f>DATE(15,11,1)</f>
        <v>5784</v>
      </c>
      <c r="C149" s="226">
        <v>176304585.53</v>
      </c>
      <c r="D149" s="226">
        <v>15902571.78</v>
      </c>
      <c r="E149" s="226">
        <v>15452261.49</v>
      </c>
      <c r="F149" s="166">
        <f t="shared" si="27"/>
        <v>0.029142031429601385</v>
      </c>
      <c r="G149" s="241">
        <f t="shared" si="28"/>
        <v>0.0901994223927546</v>
      </c>
      <c r="H149" s="242">
        <f t="shared" si="29"/>
        <v>0.9098005776072454</v>
      </c>
      <c r="I149" s="157"/>
    </row>
    <row r="150" spans="1:9" ht="15">
      <c r="A150" s="164"/>
      <c r="B150" s="165">
        <f>DATE(15,12,1)</f>
        <v>5814</v>
      </c>
      <c r="C150" s="226">
        <v>181945516.72</v>
      </c>
      <c r="D150" s="226">
        <v>16207166.42</v>
      </c>
      <c r="E150" s="226">
        <v>15509961.32</v>
      </c>
      <c r="F150" s="166">
        <f t="shared" si="27"/>
        <v>0.04495208502557372</v>
      </c>
      <c r="G150" s="241">
        <f t="shared" si="28"/>
        <v>0.0890770309275692</v>
      </c>
      <c r="H150" s="242">
        <f t="shared" si="29"/>
        <v>0.9109229690724308</v>
      </c>
      <c r="I150" s="157"/>
    </row>
    <row r="151" spans="1:9" ht="15">
      <c r="A151" s="164"/>
      <c r="B151" s="165">
        <f>DATE(16,1,1)</f>
        <v>5845</v>
      </c>
      <c r="C151" s="226">
        <v>184597962.36</v>
      </c>
      <c r="D151" s="226">
        <v>16295527.09</v>
      </c>
      <c r="E151" s="226">
        <v>15949660.58</v>
      </c>
      <c r="F151" s="166">
        <f t="shared" si="27"/>
        <v>0.021684882149385513</v>
      </c>
      <c r="G151" s="241">
        <f t="shared" si="28"/>
        <v>0.08827576903704236</v>
      </c>
      <c r="H151" s="242">
        <f t="shared" si="29"/>
        <v>0.9117242309629576</v>
      </c>
      <c r="I151" s="157"/>
    </row>
    <row r="152" spans="1:9" ht="15">
      <c r="A152" s="164"/>
      <c r="B152" s="165">
        <f>DATE(16,2,1)</f>
        <v>5876</v>
      </c>
      <c r="C152" s="226">
        <v>188297673.68</v>
      </c>
      <c r="D152" s="226">
        <v>17044710.54</v>
      </c>
      <c r="E152" s="226">
        <v>15158603.75</v>
      </c>
      <c r="F152" s="166">
        <f t="shared" si="27"/>
        <v>0.1244248362914031</v>
      </c>
      <c r="G152" s="241">
        <f t="shared" si="28"/>
        <v>0.0905200271829508</v>
      </c>
      <c r="H152" s="242">
        <f t="shared" si="29"/>
        <v>0.9094799728170492</v>
      </c>
      <c r="I152" s="157"/>
    </row>
    <row r="153" spans="1:9" ht="15">
      <c r="A153" s="164"/>
      <c r="B153" s="165">
        <f>DATE(16,3,1)</f>
        <v>5905</v>
      </c>
      <c r="C153" s="226">
        <v>197219502.24</v>
      </c>
      <c r="D153" s="226">
        <v>17565317.94</v>
      </c>
      <c r="E153" s="226">
        <v>17456091.56</v>
      </c>
      <c r="F153" s="166">
        <f t="shared" si="27"/>
        <v>0.0062572070972800676</v>
      </c>
      <c r="G153" s="241">
        <f t="shared" si="28"/>
        <v>0.08906481225484712</v>
      </c>
      <c r="H153" s="242">
        <f t="shared" si="29"/>
        <v>0.9109351877451529</v>
      </c>
      <c r="I153" s="157"/>
    </row>
    <row r="154" spans="1:9" ht="15">
      <c r="A154" s="164"/>
      <c r="B154" s="165">
        <f>DATE(16,4,1)</f>
        <v>5936</v>
      </c>
      <c r="C154" s="226">
        <v>186415675.99</v>
      </c>
      <c r="D154" s="226">
        <v>16743969.08</v>
      </c>
      <c r="E154" s="226">
        <v>16585206.85</v>
      </c>
      <c r="F154" s="166">
        <f t="shared" si="27"/>
        <v>0.009572520345141215</v>
      </c>
      <c r="G154" s="241">
        <f t="shared" si="28"/>
        <v>0.08982060650788942</v>
      </c>
      <c r="H154" s="242">
        <f t="shared" si="29"/>
        <v>0.9101793934921105</v>
      </c>
      <c r="I154" s="157"/>
    </row>
    <row r="155" spans="1:9" ht="15">
      <c r="A155" s="164"/>
      <c r="B155" s="165">
        <f>DATE(16,5,1)</f>
        <v>5966</v>
      </c>
      <c r="C155" s="226">
        <v>191800209.87</v>
      </c>
      <c r="D155" s="226">
        <v>17515306.22</v>
      </c>
      <c r="E155" s="226">
        <v>17438756.96</v>
      </c>
      <c r="F155" s="166">
        <f t="shared" si="27"/>
        <v>0.0043896053013171826</v>
      </c>
      <c r="G155" s="241">
        <f t="shared" si="28"/>
        <v>0.09132057901225277</v>
      </c>
      <c r="H155" s="242">
        <f t="shared" si="29"/>
        <v>0.9086794209877472</v>
      </c>
      <c r="I155" s="157"/>
    </row>
    <row r="156" spans="1:9" ht="15">
      <c r="A156" s="164"/>
      <c r="B156" s="165">
        <f>DATE(16,6,1)</f>
        <v>5997</v>
      </c>
      <c r="C156" s="226">
        <v>173547342.43</v>
      </c>
      <c r="D156" s="226">
        <v>15751211.18</v>
      </c>
      <c r="E156" s="226">
        <v>15286941.17</v>
      </c>
      <c r="F156" s="166">
        <f t="shared" si="27"/>
        <v>0.030370366761868016</v>
      </c>
      <c r="G156" s="241">
        <f t="shared" si="28"/>
        <v>0.09076031334996225</v>
      </c>
      <c r="H156" s="242">
        <f t="shared" si="29"/>
        <v>0.9092396866500377</v>
      </c>
      <c r="I156" s="157"/>
    </row>
    <row r="157" spans="1:9" ht="15" thickBot="1">
      <c r="A157" s="167"/>
      <c r="B157" s="168"/>
      <c r="C157" s="226"/>
      <c r="D157" s="226"/>
      <c r="E157" s="226"/>
      <c r="F157" s="166"/>
      <c r="G157" s="241"/>
      <c r="H157" s="242"/>
      <c r="I157" s="157"/>
    </row>
    <row r="158" spans="1:9" ht="16.5" thickBot="1" thickTop="1">
      <c r="A158" s="174" t="s">
        <v>14</v>
      </c>
      <c r="B158" s="175"/>
      <c r="C158" s="228">
        <f>SUM(C145:C157)</f>
        <v>2216361449.88</v>
      </c>
      <c r="D158" s="228">
        <f>SUM(D145:D157)</f>
        <v>199035818.10000002</v>
      </c>
      <c r="E158" s="228">
        <f>SUM(E145:E157)</f>
        <v>191630536.17999998</v>
      </c>
      <c r="F158" s="176">
        <f>(+D158-E158)/E158</f>
        <v>0.03864353806871474</v>
      </c>
      <c r="G158" s="249">
        <f>D158/C158</f>
        <v>0.08980295976126834</v>
      </c>
      <c r="H158" s="270">
        <f>1-G158</f>
        <v>0.9101970402387316</v>
      </c>
      <c r="I158" s="157"/>
    </row>
    <row r="159" spans="1:9" ht="15" thickTop="1">
      <c r="A159" s="167"/>
      <c r="B159" s="168"/>
      <c r="C159" s="226"/>
      <c r="D159" s="226"/>
      <c r="E159" s="226"/>
      <c r="F159" s="166"/>
      <c r="G159" s="241"/>
      <c r="H159" s="242"/>
      <c r="I159" s="157"/>
    </row>
    <row r="160" spans="1:9" ht="15">
      <c r="A160" s="164" t="s">
        <v>59</v>
      </c>
      <c r="B160" s="165">
        <f>DATE(15,7,1)</f>
        <v>5661</v>
      </c>
      <c r="C160" s="226">
        <v>31589262.83</v>
      </c>
      <c r="D160" s="226">
        <v>2939417.51</v>
      </c>
      <c r="E160" s="226">
        <v>2839788.24</v>
      </c>
      <c r="F160" s="166">
        <f aca="true" t="shared" si="30" ref="F160:F171">(+D160-E160)/E160</f>
        <v>0.0350833448060196</v>
      </c>
      <c r="G160" s="241">
        <f aca="true" t="shared" si="31" ref="G160:G171">D160/C160</f>
        <v>0.09305115873766023</v>
      </c>
      <c r="H160" s="242">
        <f aca="true" t="shared" si="32" ref="H160:H171">1-G160</f>
        <v>0.9069488412623398</v>
      </c>
      <c r="I160" s="157"/>
    </row>
    <row r="161" spans="1:9" ht="15">
      <c r="A161" s="164"/>
      <c r="B161" s="165">
        <f>DATE(15,8,1)</f>
        <v>5692</v>
      </c>
      <c r="C161" s="226">
        <v>30903668.58</v>
      </c>
      <c r="D161" s="226">
        <v>2846158.11</v>
      </c>
      <c r="E161" s="226">
        <v>3005400.13</v>
      </c>
      <c r="F161" s="166">
        <f t="shared" si="30"/>
        <v>-0.05298529750180054</v>
      </c>
      <c r="G161" s="241">
        <f t="shared" si="31"/>
        <v>0.09209774246161684</v>
      </c>
      <c r="H161" s="242">
        <f t="shared" si="32"/>
        <v>0.9079022575383832</v>
      </c>
      <c r="I161" s="157"/>
    </row>
    <row r="162" spans="1:9" ht="15">
      <c r="A162" s="164"/>
      <c r="B162" s="165">
        <f>DATE(15,9,1)</f>
        <v>5723</v>
      </c>
      <c r="C162" s="226">
        <v>29148135.53</v>
      </c>
      <c r="D162" s="226">
        <v>2728326.6</v>
      </c>
      <c r="E162" s="226">
        <v>2588664.34</v>
      </c>
      <c r="F162" s="166">
        <f t="shared" si="30"/>
        <v>0.05395147522293302</v>
      </c>
      <c r="G162" s="241">
        <f t="shared" si="31"/>
        <v>0.09360209668271705</v>
      </c>
      <c r="H162" s="242">
        <f t="shared" si="32"/>
        <v>0.906397903317283</v>
      </c>
      <c r="I162" s="157"/>
    </row>
    <row r="163" spans="1:9" ht="15">
      <c r="A163" s="164"/>
      <c r="B163" s="165">
        <f>DATE(15,10,1)</f>
        <v>5753</v>
      </c>
      <c r="C163" s="226">
        <v>30494220.09</v>
      </c>
      <c r="D163" s="226">
        <v>2871413.92</v>
      </c>
      <c r="E163" s="226">
        <v>2779309.1</v>
      </c>
      <c r="F163" s="166">
        <f t="shared" si="30"/>
        <v>0.03313946620762686</v>
      </c>
      <c r="G163" s="241">
        <f t="shared" si="31"/>
        <v>0.09416256298817839</v>
      </c>
      <c r="H163" s="242">
        <f t="shared" si="32"/>
        <v>0.9058374370118216</v>
      </c>
      <c r="I163" s="157"/>
    </row>
    <row r="164" spans="1:9" ht="15">
      <c r="A164" s="164"/>
      <c r="B164" s="165">
        <f>DATE(15,11,1)</f>
        <v>5784</v>
      </c>
      <c r="C164" s="226">
        <v>28620047.89</v>
      </c>
      <c r="D164" s="226">
        <v>2691563.06</v>
      </c>
      <c r="E164" s="226">
        <v>2575983.41</v>
      </c>
      <c r="F164" s="166">
        <f t="shared" si="30"/>
        <v>0.04486816551353485</v>
      </c>
      <c r="G164" s="241">
        <f t="shared" si="31"/>
        <v>0.09404467352203302</v>
      </c>
      <c r="H164" s="242">
        <f t="shared" si="32"/>
        <v>0.905955326477967</v>
      </c>
      <c r="I164" s="157"/>
    </row>
    <row r="165" spans="1:9" ht="15">
      <c r="A165" s="164"/>
      <c r="B165" s="165">
        <f>DATE(15,12,1)</f>
        <v>5814</v>
      </c>
      <c r="C165" s="226">
        <v>31196411.18</v>
      </c>
      <c r="D165" s="226">
        <v>2841377.46</v>
      </c>
      <c r="E165" s="226">
        <v>2806604.54</v>
      </c>
      <c r="F165" s="166">
        <f t="shared" si="30"/>
        <v>0.012389675675505009</v>
      </c>
      <c r="G165" s="241">
        <f t="shared" si="31"/>
        <v>0.09108026700909767</v>
      </c>
      <c r="H165" s="242">
        <f t="shared" si="32"/>
        <v>0.9089197329909023</v>
      </c>
      <c r="I165" s="157"/>
    </row>
    <row r="166" spans="1:9" ht="15">
      <c r="A166" s="164"/>
      <c r="B166" s="165">
        <f>DATE(16,1,1)</f>
        <v>5845</v>
      </c>
      <c r="C166" s="226">
        <v>28712743.46</v>
      </c>
      <c r="D166" s="226">
        <v>2676374.07</v>
      </c>
      <c r="E166" s="226">
        <v>2544696.23</v>
      </c>
      <c r="F166" s="166">
        <f t="shared" si="30"/>
        <v>0.051745995631077686</v>
      </c>
      <c r="G166" s="241">
        <f t="shared" si="31"/>
        <v>0.09321206361657786</v>
      </c>
      <c r="H166" s="242">
        <f t="shared" si="32"/>
        <v>0.9067879363834221</v>
      </c>
      <c r="I166" s="157"/>
    </row>
    <row r="167" spans="1:9" ht="15">
      <c r="A167" s="164"/>
      <c r="B167" s="165">
        <f>DATE(16,2,1)</f>
        <v>5876</v>
      </c>
      <c r="C167" s="226">
        <v>30920531.09</v>
      </c>
      <c r="D167" s="226">
        <v>2953066.65</v>
      </c>
      <c r="E167" s="226">
        <v>2707824.01</v>
      </c>
      <c r="F167" s="166">
        <f t="shared" si="30"/>
        <v>0.09056816066861012</v>
      </c>
      <c r="G167" s="241">
        <f t="shared" si="31"/>
        <v>0.09550504295688021</v>
      </c>
      <c r="H167" s="242">
        <f t="shared" si="32"/>
        <v>0.9044949570431198</v>
      </c>
      <c r="I167" s="157"/>
    </row>
    <row r="168" spans="1:9" ht="15">
      <c r="A168" s="164"/>
      <c r="B168" s="165">
        <f>DATE(16,3,1)</f>
        <v>5905</v>
      </c>
      <c r="C168" s="226">
        <v>32495266.42</v>
      </c>
      <c r="D168" s="226">
        <v>2944954.06</v>
      </c>
      <c r="E168" s="226">
        <v>3177937.82</v>
      </c>
      <c r="F168" s="166">
        <f t="shared" si="30"/>
        <v>-0.07331287558042901</v>
      </c>
      <c r="G168" s="241">
        <f t="shared" si="31"/>
        <v>0.09062717079886615</v>
      </c>
      <c r="H168" s="242">
        <f t="shared" si="32"/>
        <v>0.9093728292011338</v>
      </c>
      <c r="I168" s="157"/>
    </row>
    <row r="169" spans="1:9" ht="15">
      <c r="A169" s="164"/>
      <c r="B169" s="165">
        <f>DATE(16,4,1)</f>
        <v>5936</v>
      </c>
      <c r="C169" s="226">
        <v>29601130.34</v>
      </c>
      <c r="D169" s="226">
        <v>2819537.55</v>
      </c>
      <c r="E169" s="226">
        <v>2843455.92</v>
      </c>
      <c r="F169" s="166">
        <f t="shared" si="30"/>
        <v>-0.008411725264234135</v>
      </c>
      <c r="G169" s="241">
        <f t="shared" si="31"/>
        <v>0.09525100959371</v>
      </c>
      <c r="H169" s="242">
        <f t="shared" si="32"/>
        <v>0.90474899040629</v>
      </c>
      <c r="I169" s="157"/>
    </row>
    <row r="170" spans="1:9" ht="15">
      <c r="A170" s="164"/>
      <c r="B170" s="165">
        <f>DATE(16,5,1)</f>
        <v>5966</v>
      </c>
      <c r="C170" s="226">
        <v>28606347.97</v>
      </c>
      <c r="D170" s="226">
        <v>2665193.01</v>
      </c>
      <c r="E170" s="226">
        <v>3052131.89</v>
      </c>
      <c r="F170" s="166">
        <f t="shared" si="30"/>
        <v>-0.12677659221338575</v>
      </c>
      <c r="G170" s="241">
        <f t="shared" si="31"/>
        <v>0.09316788751905823</v>
      </c>
      <c r="H170" s="242">
        <f t="shared" si="32"/>
        <v>0.9068321124809418</v>
      </c>
      <c r="I170" s="157"/>
    </row>
    <row r="171" spans="1:9" ht="15">
      <c r="A171" s="164"/>
      <c r="B171" s="165">
        <f>DATE(16,6,1)</f>
        <v>5997</v>
      </c>
      <c r="C171" s="226">
        <v>25843186.82</v>
      </c>
      <c r="D171" s="226">
        <v>2542045.96</v>
      </c>
      <c r="E171" s="226">
        <v>2691415.26</v>
      </c>
      <c r="F171" s="166">
        <f t="shared" si="30"/>
        <v>-0.055498422045804935</v>
      </c>
      <c r="G171" s="241">
        <f t="shared" si="31"/>
        <v>0.09836426048016318</v>
      </c>
      <c r="H171" s="242">
        <f t="shared" si="32"/>
        <v>0.9016357395198368</v>
      </c>
      <c r="I171" s="157"/>
    </row>
    <row r="172" spans="1:9" ht="15" thickBot="1">
      <c r="A172" s="167"/>
      <c r="B172" s="168"/>
      <c r="C172" s="226"/>
      <c r="D172" s="226"/>
      <c r="E172" s="226"/>
      <c r="F172" s="166"/>
      <c r="G172" s="241"/>
      <c r="H172" s="242"/>
      <c r="I172" s="157"/>
    </row>
    <row r="173" spans="1:9" ht="16.5" thickBot="1" thickTop="1">
      <c r="A173" s="182" t="s">
        <v>14</v>
      </c>
      <c r="B173" s="183"/>
      <c r="C173" s="230">
        <f>SUM(C160:C172)</f>
        <v>358130952.2</v>
      </c>
      <c r="D173" s="230">
        <f>SUM(D160:D172)</f>
        <v>33519427.96</v>
      </c>
      <c r="E173" s="230">
        <f>SUM(E160:E172)</f>
        <v>33613210.89</v>
      </c>
      <c r="F173" s="176">
        <f>(+D173-E173)/E173</f>
        <v>-0.0027900616310327056</v>
      </c>
      <c r="G173" s="249">
        <f>D173/C173</f>
        <v>0.09359545092120636</v>
      </c>
      <c r="H173" s="246">
        <f>1-G173</f>
        <v>0.9064045490787936</v>
      </c>
      <c r="I173" s="157"/>
    </row>
    <row r="174" spans="1:9" ht="15" thickTop="1">
      <c r="A174" s="167"/>
      <c r="B174" s="168"/>
      <c r="C174" s="226"/>
      <c r="D174" s="226"/>
      <c r="E174" s="226"/>
      <c r="F174" s="166"/>
      <c r="G174" s="241"/>
      <c r="H174" s="242"/>
      <c r="I174" s="157"/>
    </row>
    <row r="175" spans="1:9" ht="15">
      <c r="A175" s="164" t="s">
        <v>40</v>
      </c>
      <c r="B175" s="165">
        <f>DATE(15,7,1)</f>
        <v>5661</v>
      </c>
      <c r="C175" s="226">
        <v>220200494.75</v>
      </c>
      <c r="D175" s="226">
        <v>19933602.06</v>
      </c>
      <c r="E175" s="226">
        <v>19981616.24</v>
      </c>
      <c r="F175" s="166">
        <f aca="true" t="shared" si="33" ref="F175:F186">(+D175-E175)/E175</f>
        <v>-0.00240291773314528</v>
      </c>
      <c r="G175" s="241">
        <f aca="true" t="shared" si="34" ref="G175:G186">D175/C175</f>
        <v>0.09052478325551082</v>
      </c>
      <c r="H175" s="242">
        <f aca="true" t="shared" si="35" ref="H175:H186">1-G175</f>
        <v>0.9094752167444892</v>
      </c>
      <c r="I175" s="157"/>
    </row>
    <row r="176" spans="1:9" ht="15">
      <c r="A176" s="164"/>
      <c r="B176" s="165">
        <f>DATE(15,8,1)</f>
        <v>5692</v>
      </c>
      <c r="C176" s="226">
        <v>214550668.73</v>
      </c>
      <c r="D176" s="226">
        <v>19402722.75</v>
      </c>
      <c r="E176" s="226">
        <v>21075262.02</v>
      </c>
      <c r="F176" s="166">
        <f t="shared" si="33"/>
        <v>-0.07936030728409418</v>
      </c>
      <c r="G176" s="241">
        <f t="shared" si="34"/>
        <v>0.09043422173816312</v>
      </c>
      <c r="H176" s="242">
        <f t="shared" si="35"/>
        <v>0.9095657782618369</v>
      </c>
      <c r="I176" s="157"/>
    </row>
    <row r="177" spans="1:9" ht="15">
      <c r="A177" s="164"/>
      <c r="B177" s="165">
        <f>DATE(15,9,1)</f>
        <v>5723</v>
      </c>
      <c r="C177" s="226">
        <v>201315980.07</v>
      </c>
      <c r="D177" s="226">
        <v>18571151.76</v>
      </c>
      <c r="E177" s="226">
        <v>17486814.22</v>
      </c>
      <c r="F177" s="166">
        <f t="shared" si="33"/>
        <v>0.06200886715888052</v>
      </c>
      <c r="G177" s="241">
        <f t="shared" si="34"/>
        <v>0.09224877107889094</v>
      </c>
      <c r="H177" s="242">
        <f t="shared" si="35"/>
        <v>0.907751228921109</v>
      </c>
      <c r="I177" s="157"/>
    </row>
    <row r="178" spans="1:9" ht="15">
      <c r="A178" s="164"/>
      <c r="B178" s="165">
        <f>DATE(15,10,1)</f>
        <v>5753</v>
      </c>
      <c r="C178" s="226">
        <v>212642709.82</v>
      </c>
      <c r="D178" s="226">
        <v>19211879.39</v>
      </c>
      <c r="E178" s="226">
        <v>18422996.77</v>
      </c>
      <c r="F178" s="166">
        <f t="shared" si="33"/>
        <v>0.042820537280048664</v>
      </c>
      <c r="G178" s="241">
        <f t="shared" si="34"/>
        <v>0.09034816856059948</v>
      </c>
      <c r="H178" s="242">
        <f t="shared" si="35"/>
        <v>0.9096518314394005</v>
      </c>
      <c r="I178" s="157"/>
    </row>
    <row r="179" spans="1:9" ht="15">
      <c r="A179" s="164"/>
      <c r="B179" s="165">
        <f>DATE(15,11,1)</f>
        <v>5784</v>
      </c>
      <c r="C179" s="226">
        <v>208726524.19</v>
      </c>
      <c r="D179" s="226">
        <v>18565267.48</v>
      </c>
      <c r="E179" s="226">
        <v>18567130.19</v>
      </c>
      <c r="F179" s="166">
        <f t="shared" si="33"/>
        <v>-0.00010032298911784029</v>
      </c>
      <c r="G179" s="241">
        <f t="shared" si="34"/>
        <v>0.08894541578769535</v>
      </c>
      <c r="H179" s="242">
        <f t="shared" si="35"/>
        <v>0.9110545842123047</v>
      </c>
      <c r="I179" s="157"/>
    </row>
    <row r="180" spans="1:9" ht="15">
      <c r="A180" s="164"/>
      <c r="B180" s="165">
        <f>DATE(15,12,1)</f>
        <v>5814</v>
      </c>
      <c r="C180" s="226">
        <v>210859623.33</v>
      </c>
      <c r="D180" s="226">
        <v>18665432.34</v>
      </c>
      <c r="E180" s="226">
        <v>19475406.19</v>
      </c>
      <c r="F180" s="166">
        <f t="shared" si="33"/>
        <v>-0.04158957415819636</v>
      </c>
      <c r="G180" s="241">
        <f t="shared" si="34"/>
        <v>0.0885206567536554</v>
      </c>
      <c r="H180" s="242">
        <f t="shared" si="35"/>
        <v>0.9114793432463446</v>
      </c>
      <c r="I180" s="157"/>
    </row>
    <row r="181" spans="1:9" ht="15">
      <c r="A181" s="164"/>
      <c r="B181" s="165">
        <f>DATE(16,1,1)</f>
        <v>5845</v>
      </c>
      <c r="C181" s="226">
        <v>213093395.87</v>
      </c>
      <c r="D181" s="226">
        <v>18845166</v>
      </c>
      <c r="E181" s="226">
        <v>19339756.99</v>
      </c>
      <c r="F181" s="166">
        <f t="shared" si="33"/>
        <v>-0.025573795485420853</v>
      </c>
      <c r="G181" s="241">
        <f t="shared" si="34"/>
        <v>0.08843618040371698</v>
      </c>
      <c r="H181" s="242">
        <f t="shared" si="35"/>
        <v>0.911563819596283</v>
      </c>
      <c r="I181" s="157"/>
    </row>
    <row r="182" spans="1:9" ht="15">
      <c r="A182" s="164"/>
      <c r="B182" s="165">
        <f>DATE(16,2,1)</f>
        <v>5876</v>
      </c>
      <c r="C182" s="226">
        <v>207349190.03</v>
      </c>
      <c r="D182" s="226">
        <v>19088020.07</v>
      </c>
      <c r="E182" s="226">
        <v>18327731.19</v>
      </c>
      <c r="F182" s="166">
        <f t="shared" si="33"/>
        <v>0.041482978559551804</v>
      </c>
      <c r="G182" s="241">
        <f t="shared" si="34"/>
        <v>0.0920573650046006</v>
      </c>
      <c r="H182" s="242">
        <f t="shared" si="35"/>
        <v>0.9079426349953994</v>
      </c>
      <c r="I182" s="157"/>
    </row>
    <row r="183" spans="1:9" ht="15">
      <c r="A183" s="164"/>
      <c r="B183" s="165">
        <f>DATE(16,3,1)</f>
        <v>5905</v>
      </c>
      <c r="C183" s="226">
        <v>217266544.67</v>
      </c>
      <c r="D183" s="226">
        <v>19771359.43</v>
      </c>
      <c r="E183" s="226">
        <v>21149835.47</v>
      </c>
      <c r="F183" s="166">
        <f t="shared" si="33"/>
        <v>-0.0651766791261946</v>
      </c>
      <c r="G183" s="241">
        <f t="shared" si="34"/>
        <v>0.09100047805349028</v>
      </c>
      <c r="H183" s="242">
        <f t="shared" si="35"/>
        <v>0.9089995219465097</v>
      </c>
      <c r="I183" s="157"/>
    </row>
    <row r="184" spans="1:9" ht="15">
      <c r="A184" s="164"/>
      <c r="B184" s="165">
        <f>DATE(16,4,1)</f>
        <v>5936</v>
      </c>
      <c r="C184" s="226">
        <v>213743186.87</v>
      </c>
      <c r="D184" s="226">
        <v>19078776.26</v>
      </c>
      <c r="E184" s="226">
        <v>19801672.42</v>
      </c>
      <c r="F184" s="166">
        <f t="shared" si="33"/>
        <v>-0.0365068234978912</v>
      </c>
      <c r="G184" s="241">
        <f t="shared" si="34"/>
        <v>0.08926027790351904</v>
      </c>
      <c r="H184" s="242">
        <f t="shared" si="35"/>
        <v>0.910739722096481</v>
      </c>
      <c r="I184" s="157"/>
    </row>
    <row r="185" spans="1:9" ht="15">
      <c r="A185" s="164"/>
      <c r="B185" s="165">
        <f>DATE(16,5,1)</f>
        <v>5966</v>
      </c>
      <c r="C185" s="226">
        <v>208425224.21</v>
      </c>
      <c r="D185" s="226">
        <v>18410001.73</v>
      </c>
      <c r="E185" s="226">
        <v>20787455.22</v>
      </c>
      <c r="F185" s="166">
        <f t="shared" si="33"/>
        <v>-0.11436962652901381</v>
      </c>
      <c r="G185" s="241">
        <f t="shared" si="34"/>
        <v>0.08832904846224802</v>
      </c>
      <c r="H185" s="242">
        <f t="shared" si="35"/>
        <v>0.911670951537752</v>
      </c>
      <c r="I185" s="157"/>
    </row>
    <row r="186" spans="1:9" ht="15">
      <c r="A186" s="164"/>
      <c r="B186" s="165">
        <f>DATE(16,6,1)</f>
        <v>5997</v>
      </c>
      <c r="C186" s="226">
        <v>195033339.79</v>
      </c>
      <c r="D186" s="226">
        <v>17714890.11</v>
      </c>
      <c r="E186" s="226">
        <v>18169618.82</v>
      </c>
      <c r="F186" s="166">
        <f t="shared" si="33"/>
        <v>-0.0250268712021335</v>
      </c>
      <c r="G186" s="241">
        <f t="shared" si="34"/>
        <v>0.09083006079408942</v>
      </c>
      <c r="H186" s="242">
        <f t="shared" si="35"/>
        <v>0.9091699392059106</v>
      </c>
      <c r="I186" s="157"/>
    </row>
    <row r="187" spans="1:9" ht="15" thickBot="1">
      <c r="A187" s="167"/>
      <c r="B187" s="168"/>
      <c r="C187" s="226"/>
      <c r="D187" s="226"/>
      <c r="E187" s="226"/>
      <c r="F187" s="166"/>
      <c r="G187" s="241"/>
      <c r="H187" s="242"/>
      <c r="I187" s="157"/>
    </row>
    <row r="188" spans="1:9" ht="16.5" thickBot="1" thickTop="1">
      <c r="A188" s="174" t="s">
        <v>14</v>
      </c>
      <c r="B188" s="175"/>
      <c r="C188" s="228">
        <f>SUM(C175:C187)</f>
        <v>2523206882.33</v>
      </c>
      <c r="D188" s="228">
        <f>SUM(D175:D187)</f>
        <v>227258269.38</v>
      </c>
      <c r="E188" s="228">
        <f>SUM(E175:E187)</f>
        <v>232585295.73999998</v>
      </c>
      <c r="F188" s="176">
        <f>(+D188-E188)/E188</f>
        <v>-0.02290353886324312</v>
      </c>
      <c r="G188" s="245">
        <f>D188/C188</f>
        <v>0.09006723585429639</v>
      </c>
      <c r="H188" s="246">
        <f>1-G188</f>
        <v>0.9099327641457036</v>
      </c>
      <c r="I188" s="157"/>
    </row>
    <row r="189" spans="1:9" ht="15" thickTop="1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5">
      <c r="A190" s="164" t="s">
        <v>64</v>
      </c>
      <c r="B190" s="165">
        <f>DATE(15,7,1)</f>
        <v>5661</v>
      </c>
      <c r="C190" s="226">
        <v>34484649.78</v>
      </c>
      <c r="D190" s="226">
        <v>3135489.91</v>
      </c>
      <c r="E190" s="226">
        <v>3131194.84</v>
      </c>
      <c r="F190" s="166">
        <f aca="true" t="shared" si="36" ref="F190:F201">(+D190-E190)/E190</f>
        <v>0.0013717032057961294</v>
      </c>
      <c r="G190" s="241">
        <f aca="true" t="shared" si="37" ref="G190:G201">D190/C190</f>
        <v>0.09092422077658693</v>
      </c>
      <c r="H190" s="242">
        <f aca="true" t="shared" si="38" ref="H190:H201">1-G190</f>
        <v>0.9090757792234131</v>
      </c>
      <c r="I190" s="157"/>
    </row>
    <row r="191" spans="1:9" ht="15">
      <c r="A191" s="164"/>
      <c r="B191" s="165">
        <f>DATE(15,8,1)</f>
        <v>5692</v>
      </c>
      <c r="C191" s="226">
        <v>33992565</v>
      </c>
      <c r="D191" s="226">
        <v>3054087.69</v>
      </c>
      <c r="E191" s="226">
        <v>3227301.46</v>
      </c>
      <c r="F191" s="166">
        <f t="shared" si="36"/>
        <v>-0.05367139455264896</v>
      </c>
      <c r="G191" s="241">
        <f t="shared" si="37"/>
        <v>0.08984575568216167</v>
      </c>
      <c r="H191" s="242">
        <f t="shared" si="38"/>
        <v>0.9101542443178383</v>
      </c>
      <c r="I191" s="157"/>
    </row>
    <row r="192" spans="1:9" ht="15">
      <c r="A192" s="164"/>
      <c r="B192" s="165">
        <f>DATE(15,9,1)</f>
        <v>5723</v>
      </c>
      <c r="C192" s="226">
        <v>31390422.87</v>
      </c>
      <c r="D192" s="226">
        <v>2932278.42</v>
      </c>
      <c r="E192" s="226">
        <v>2886113.88</v>
      </c>
      <c r="F192" s="166">
        <f t="shared" si="36"/>
        <v>0.015995397936272714</v>
      </c>
      <c r="G192" s="241">
        <f t="shared" si="37"/>
        <v>0.09341315445617633</v>
      </c>
      <c r="H192" s="242">
        <f t="shared" si="38"/>
        <v>0.9065868455438236</v>
      </c>
      <c r="I192" s="157"/>
    </row>
    <row r="193" spans="1:9" ht="15">
      <c r="A193" s="164"/>
      <c r="B193" s="165">
        <f>DATE(15,10,1)</f>
        <v>5753</v>
      </c>
      <c r="C193" s="226">
        <v>33008637.75</v>
      </c>
      <c r="D193" s="226">
        <v>2975346.07</v>
      </c>
      <c r="E193" s="226">
        <v>2908095.78</v>
      </c>
      <c r="F193" s="166">
        <f t="shared" si="36"/>
        <v>0.023125197753974956</v>
      </c>
      <c r="G193" s="241">
        <f t="shared" si="37"/>
        <v>0.0901384083928153</v>
      </c>
      <c r="H193" s="242">
        <f t="shared" si="38"/>
        <v>0.9098615916071847</v>
      </c>
      <c r="I193" s="157"/>
    </row>
    <row r="194" spans="1:9" ht="15">
      <c r="A194" s="164"/>
      <c r="B194" s="165">
        <f>DATE(15,11,1)</f>
        <v>5784</v>
      </c>
      <c r="C194" s="226">
        <v>30809841.94</v>
      </c>
      <c r="D194" s="226">
        <v>2749797.25</v>
      </c>
      <c r="E194" s="226">
        <v>2809592.69</v>
      </c>
      <c r="F194" s="166">
        <f t="shared" si="36"/>
        <v>-0.021282600931026747</v>
      </c>
      <c r="G194" s="241">
        <f t="shared" si="37"/>
        <v>0.08925061203997854</v>
      </c>
      <c r="H194" s="242">
        <f t="shared" si="38"/>
        <v>0.9107493879600215</v>
      </c>
      <c r="I194" s="157"/>
    </row>
    <row r="195" spans="1:9" ht="15">
      <c r="A195" s="164"/>
      <c r="B195" s="165">
        <f>DATE(15,12,1)</f>
        <v>5814</v>
      </c>
      <c r="C195" s="226">
        <v>35330554.24</v>
      </c>
      <c r="D195" s="226">
        <v>3010503.06</v>
      </c>
      <c r="E195" s="226">
        <v>2822057.08</v>
      </c>
      <c r="F195" s="166">
        <f t="shared" si="36"/>
        <v>0.06677610503895264</v>
      </c>
      <c r="G195" s="241">
        <f t="shared" si="37"/>
        <v>0.0852096188344426</v>
      </c>
      <c r="H195" s="242">
        <f t="shared" si="38"/>
        <v>0.9147903811655574</v>
      </c>
      <c r="I195" s="157"/>
    </row>
    <row r="196" spans="1:9" ht="15">
      <c r="A196" s="164"/>
      <c r="B196" s="165">
        <f>DATE(16,1,1)</f>
        <v>5845</v>
      </c>
      <c r="C196" s="226">
        <v>32249451.72</v>
      </c>
      <c r="D196" s="226">
        <v>2977166.12</v>
      </c>
      <c r="E196" s="226">
        <v>3119187.16</v>
      </c>
      <c r="F196" s="166">
        <f t="shared" si="36"/>
        <v>-0.04553142620656339</v>
      </c>
      <c r="G196" s="241">
        <f t="shared" si="37"/>
        <v>0.09231679799857385</v>
      </c>
      <c r="H196" s="242">
        <f t="shared" si="38"/>
        <v>0.9076832020014262</v>
      </c>
      <c r="I196" s="157"/>
    </row>
    <row r="197" spans="1:9" ht="15">
      <c r="A197" s="164"/>
      <c r="B197" s="165">
        <f>DATE(16,2,1)</f>
        <v>5876</v>
      </c>
      <c r="C197" s="226">
        <v>35920996.09</v>
      </c>
      <c r="D197" s="226">
        <v>3304743.82</v>
      </c>
      <c r="E197" s="226">
        <v>3161181.44</v>
      </c>
      <c r="F197" s="166">
        <f t="shared" si="36"/>
        <v>0.045414153766510756</v>
      </c>
      <c r="G197" s="241">
        <f t="shared" si="37"/>
        <v>0.0920003390696619</v>
      </c>
      <c r="H197" s="242">
        <f t="shared" si="38"/>
        <v>0.9079996609303381</v>
      </c>
      <c r="I197" s="157"/>
    </row>
    <row r="198" spans="1:9" ht="15">
      <c r="A198" s="164"/>
      <c r="B198" s="165">
        <f>DATE(16,3,1)</f>
        <v>5905</v>
      </c>
      <c r="C198" s="226">
        <v>35259064.99</v>
      </c>
      <c r="D198" s="226">
        <v>3408351.45</v>
      </c>
      <c r="E198" s="226">
        <v>3489638.16</v>
      </c>
      <c r="F198" s="166">
        <f t="shared" si="36"/>
        <v>-0.02329373599009473</v>
      </c>
      <c r="G198" s="241">
        <f t="shared" si="37"/>
        <v>0.09666596238347953</v>
      </c>
      <c r="H198" s="242">
        <f t="shared" si="38"/>
        <v>0.9033340376165204</v>
      </c>
      <c r="I198" s="157"/>
    </row>
    <row r="199" spans="1:9" ht="15">
      <c r="A199" s="164"/>
      <c r="B199" s="165">
        <f>DATE(16,4,1)</f>
        <v>5936</v>
      </c>
      <c r="C199" s="226">
        <v>33815307.23</v>
      </c>
      <c r="D199" s="226">
        <v>3190649.39</v>
      </c>
      <c r="E199" s="226">
        <v>3327577.31</v>
      </c>
      <c r="F199" s="166">
        <f t="shared" si="36"/>
        <v>-0.04114943312917346</v>
      </c>
      <c r="G199" s="241">
        <f t="shared" si="37"/>
        <v>0.09435517969120638</v>
      </c>
      <c r="H199" s="242">
        <f t="shared" si="38"/>
        <v>0.9056448203087937</v>
      </c>
      <c r="I199" s="157"/>
    </row>
    <row r="200" spans="1:9" ht="15">
      <c r="A200" s="164"/>
      <c r="B200" s="165">
        <f>DATE(16,5,1)</f>
        <v>5966</v>
      </c>
      <c r="C200" s="226">
        <v>33045591.23</v>
      </c>
      <c r="D200" s="226">
        <v>3076392.28</v>
      </c>
      <c r="E200" s="226">
        <v>3458564.7</v>
      </c>
      <c r="F200" s="166">
        <f t="shared" si="36"/>
        <v>-0.11050029510796787</v>
      </c>
      <c r="G200" s="241">
        <f t="shared" si="37"/>
        <v>0.09309539231990312</v>
      </c>
      <c r="H200" s="242">
        <f t="shared" si="38"/>
        <v>0.9069046076800968</v>
      </c>
      <c r="I200" s="157"/>
    </row>
    <row r="201" spans="1:9" ht="15">
      <c r="A201" s="164"/>
      <c r="B201" s="165">
        <f>DATE(16,6,1)</f>
        <v>5997</v>
      </c>
      <c r="C201" s="226">
        <v>29865528.37</v>
      </c>
      <c r="D201" s="226">
        <v>2965384.32</v>
      </c>
      <c r="E201" s="226">
        <v>2975543.1</v>
      </c>
      <c r="F201" s="166">
        <f t="shared" si="36"/>
        <v>-0.00341409270798338</v>
      </c>
      <c r="G201" s="241">
        <f t="shared" si="37"/>
        <v>0.09929120567572934</v>
      </c>
      <c r="H201" s="242">
        <f t="shared" si="38"/>
        <v>0.9007087943242706</v>
      </c>
      <c r="I201" s="157"/>
    </row>
    <row r="202" spans="1:9" ht="15" thickBot="1">
      <c r="A202" s="167"/>
      <c r="B202" s="168"/>
      <c r="C202" s="226"/>
      <c r="D202" s="226"/>
      <c r="E202" s="226"/>
      <c r="F202" s="166"/>
      <c r="G202" s="241"/>
      <c r="H202" s="242"/>
      <c r="I202" s="157"/>
    </row>
    <row r="203" spans="1:9" ht="16.5" thickBot="1" thickTop="1">
      <c r="A203" s="169" t="s">
        <v>14</v>
      </c>
      <c r="B203" s="155"/>
      <c r="C203" s="223">
        <f>SUM(C190:C202)</f>
        <v>399172611.21000004</v>
      </c>
      <c r="D203" s="223">
        <f>SUM(D190:D202)</f>
        <v>36780189.78</v>
      </c>
      <c r="E203" s="223">
        <f>SUM(E190:E202)</f>
        <v>37316047.6</v>
      </c>
      <c r="F203" s="176">
        <f>(+D203-E203)/E203</f>
        <v>-0.014359983290406143</v>
      </c>
      <c r="G203" s="245">
        <f>D203/C203</f>
        <v>0.09214106566206862</v>
      </c>
      <c r="H203" s="246">
        <f>1-G203</f>
        <v>0.9078589343379314</v>
      </c>
      <c r="I203" s="157"/>
    </row>
    <row r="204" spans="1:9" ht="15.75" thickBot="1" thickTop="1">
      <c r="A204" s="171"/>
      <c r="B204" s="172"/>
      <c r="C204" s="227"/>
      <c r="D204" s="227"/>
      <c r="E204" s="227"/>
      <c r="F204" s="173"/>
      <c r="G204" s="243"/>
      <c r="H204" s="244"/>
      <c r="I204" s="157"/>
    </row>
    <row r="205" spans="1:9" ht="16.5" thickBot="1" thickTop="1">
      <c r="A205" s="184" t="s">
        <v>41</v>
      </c>
      <c r="B205" s="155"/>
      <c r="C205" s="223">
        <f>C203+C188+C143+C113+C83+C53+C23+C68+C173+C38+C128+C158+C98</f>
        <v>15685194334.560001</v>
      </c>
      <c r="D205" s="223">
        <f>D203+D188+D143+D113+D83+D53+D23+D68+D173+D38+D128+D158+D98</f>
        <v>1481175512.98</v>
      </c>
      <c r="E205" s="223">
        <f>E203+E188+E143+E113+E83+E53+E23+E68+E173+E38+E128+E158+E98</f>
        <v>1466078821.45</v>
      </c>
      <c r="F205" s="170">
        <f>(+D205-E205)/E205</f>
        <v>0.010297325975331154</v>
      </c>
      <c r="G205" s="236">
        <f>D205/C205</f>
        <v>0.09443144161219917</v>
      </c>
      <c r="H205" s="237">
        <f>1-G205</f>
        <v>0.9055685583878008</v>
      </c>
      <c r="I205" s="157"/>
    </row>
    <row r="206" spans="1:9" ht="16.5" thickBot="1" thickTop="1">
      <c r="A206" s="184"/>
      <c r="B206" s="155"/>
      <c r="C206" s="223"/>
      <c r="D206" s="223"/>
      <c r="E206" s="223"/>
      <c r="F206" s="170"/>
      <c r="G206" s="236"/>
      <c r="H206" s="237"/>
      <c r="I206" s="157"/>
    </row>
    <row r="207" spans="1:9" ht="16.5" thickBot="1" thickTop="1">
      <c r="A207" s="184" t="s">
        <v>42</v>
      </c>
      <c r="B207" s="155"/>
      <c r="C207" s="223">
        <f>+C21+C36+C51+C66+C81+C96+C111+C126+C141+C156+C171+C186+C201</f>
        <v>1221873380.79</v>
      </c>
      <c r="D207" s="223">
        <f>+D21+D36+D51+D66+D81+D96+D111+D126+D141+D156+D171+D186+D201</f>
        <v>115753550.67999998</v>
      </c>
      <c r="E207" s="223">
        <f>+E21+E36+E51+E66+E81+E96+E111+E126+E141+E156+E171+E186+E201</f>
        <v>116429578.15</v>
      </c>
      <c r="F207" s="170">
        <f>(+D207-E207)/E207</f>
        <v>-0.0058063207025372925</v>
      </c>
      <c r="G207" s="236">
        <f>D207/C207</f>
        <v>0.09473448926856867</v>
      </c>
      <c r="H207" s="246">
        <f>1-G207</f>
        <v>0.9052655107314314</v>
      </c>
      <c r="I207" s="157"/>
    </row>
    <row r="208" spans="1:9" ht="15.75" thickTop="1">
      <c r="A208" s="185"/>
      <c r="B208" s="186"/>
      <c r="C208" s="231"/>
      <c r="D208" s="231"/>
      <c r="E208" s="231"/>
      <c r="F208" s="187"/>
      <c r="G208" s="250"/>
      <c r="H208" s="250"/>
      <c r="I208" s="151"/>
    </row>
    <row r="209" spans="1:9" ht="16.5" customHeight="1">
      <c r="A209" s="188" t="s">
        <v>52</v>
      </c>
      <c r="B209" s="189"/>
      <c r="C209" s="232"/>
      <c r="D209" s="232"/>
      <c r="E209" s="232"/>
      <c r="F209" s="190"/>
      <c r="G209" s="251"/>
      <c r="H209" s="251"/>
      <c r="I209" s="151"/>
    </row>
    <row r="210" spans="1:9" ht="15">
      <c r="A210" s="191"/>
      <c r="B210" s="189"/>
      <c r="C210" s="232"/>
      <c r="D210" s="232"/>
      <c r="E210" s="232"/>
      <c r="F210" s="190"/>
      <c r="G210" s="257"/>
      <c r="H210" s="257"/>
      <c r="I210" s="151"/>
    </row>
    <row r="211" spans="1:9" ht="15">
      <c r="A211" s="72"/>
      <c r="I211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4" manualBreakCount="4">
    <brk id="53" max="8" man="1"/>
    <brk id="98" max="8" man="1"/>
    <brk id="143" max="8" man="1"/>
    <brk id="1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jbrun</cp:lastModifiedBy>
  <cp:lastPrinted>2016-07-08T14:08:50Z</cp:lastPrinted>
  <dcterms:created xsi:type="dcterms:W3CDTF">2003-09-09T14:41:43Z</dcterms:created>
  <dcterms:modified xsi:type="dcterms:W3CDTF">2016-07-08T14:31:57Z</dcterms:modified>
  <cp:category/>
  <cp:version/>
  <cp:contentType/>
  <cp:contentStatus/>
</cp:coreProperties>
</file>