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STATS'!$A$1:$M$117</definedName>
    <definedName name="_xlnm.Print_Area" localSheetId="3">'SLOT STATS'!$A$1:$I$118</definedName>
    <definedName name="_xlnm.Print_Area" localSheetId="2">'TABLE STATS'!$A$1:$H$117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<sst xmlns="http://schemas.openxmlformats.org/spreadsheetml/2006/main" count="192" uniqueCount="75">
  <si>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</si>
  <si>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</si>
  <si>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</si>
  <si>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</si>
  <si>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</si>
  <si>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</si>
  <si>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</si>
  <si>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</si>
  <si>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</si>
  <si>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</si>
  <si>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</si>
  <si>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</si>
  <si>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</si>
  <si>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</si>
  <si>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</si>
  <si>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</si>
  <si>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</si>
  <si>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</si>
  <si>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</si>
  <si>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</si>
  <si>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</si>
  <si>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</si>
  <si>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</si>
  <si>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</si>
  <si>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</si>
  <si>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</si>
  <si>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</si>
  <si>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</si>
  <si>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</si>
  <si>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</si>
  <si>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</si>
  <si>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</si>
  <si>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</si>
  <si>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</si>
  <si>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</si>
  <si>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</si>
  <si>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</si>
  <si>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</si>
  <si>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</si>
  <si>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</si>
  <si>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</si>
  <si>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</si>
  <si>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</si>
  <si>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</si>
  <si>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</si>
  <si>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</si>
  <si>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</si>
  <si>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</si>
  <si>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</si>
  <si>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</si>
  <si>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</si>
  <si>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</si>
  <si>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</si>
  <si>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</si>
  <si>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</si>
  <si>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</si>
  <si>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</si>
  <si>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</si>
  <si>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</si>
  <si>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</si>
  <si>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</si>
  <si>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</si>
  <si>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</si>
  <si>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</si>
  <si>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</si>
  <si>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</si>
  <si>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</si>
  <si>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FISCAL 2016 YTD ADMISSIONS, PATRONS AND AGR SUMMARY </t>
  </si>
  <si>
    <t xml:space="preserve">LUMIERE PLACE </t>
  </si>
  <si>
    <t>MONTH ENDED:   NOVEMBER 30, 2015</t>
  </si>
  <si>
    <t>(as reported on the tax remittal database dtd 12/9/15)</t>
  </si>
  <si>
    <t>FOR THE MONTH ENDED:   NOVEMBER 30, 2015</t>
  </si>
  <si>
    <t>THRU MONTH ENDED:   NOVEMBER 30, 2015</t>
  </si>
  <si>
    <t>(as reported on the tax remittal database as of 12/9/15)</t>
  </si>
  <si>
    <t>THRU MONTH ENDED:     NOVEMBER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</si>
</sst>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tabSelected="1" showOutlineSymbols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DATE(2015,7,1)</f>
        <v>42186</v>
      </c>
      <c r="C9" s="21">
        <v>283931</v>
      </c>
      <c r="D9" s="22">
        <v>267164</v>
      </c>
      <c r="E9" s="23">
        <f>(+C9-D9)/D9</f>
        <v>0.06275920408438262</v>
      </c>
      <c r="F9" s="21">
        <f>+C9-135860</f>
        <v>148071</v>
      </c>
      <c r="G9" s="21">
        <f>+D9-127421</f>
        <v>139743</v>
      </c>
      <c r="H9" s="23">
        <f>(+F9-G9)/G9</f>
        <v>0.05959511388763659</v>
      </c>
      <c r="I9" s="24">
        <f>K9/C9</f>
        <v>45.25721231566825</v>
      </c>
      <c r="J9" s="24">
        <f>K9/F9</f>
        <v>86.78218928757151</v>
      </c>
      <c r="K9" s="21">
        <v>12849925.55</v>
      </c>
      <c r="L9" s="21">
        <v>11142372.81</v>
      </c>
      <c r="M9" s="25">
        <f>(+K9-L9)/L9</f>
        <v>0.15324857363123898</v>
      </c>
      <c r="N9" s="10"/>
      <c r="R9" s="2"/>
    </row>
    <row r="10" spans="1:18" ht="15.75">
      <c r="A10" s="19"/>
      <c r="B10" s="20">
        <f>DATE(2015,8,1)</f>
        <v>42217</v>
      </c>
      <c r="C10" s="21">
        <v>273668</v>
      </c>
      <c r="D10" s="22">
        <v>277665</v>
      </c>
      <c r="E10" s="23">
        <f>(+C10-D10)/D10</f>
        <v>-0.014395044388021536</v>
      </c>
      <c r="F10" s="21">
        <f>+C10-130612</f>
        <v>143056</v>
      </c>
      <c r="G10" s="21">
        <f>+D10-135151</f>
        <v>142514</v>
      </c>
      <c r="H10" s="23">
        <f>(+F10-G10)/G10</f>
        <v>0.003803135130583662</v>
      </c>
      <c r="I10" s="24">
        <f>K10/C10</f>
        <v>43.66950852858208</v>
      </c>
      <c r="J10" s="24">
        <f>K10/F10</f>
        <v>83.54034126495918</v>
      </c>
      <c r="K10" s="21">
        <v>11950947.06</v>
      </c>
      <c r="L10" s="21">
        <v>12165062.62</v>
      </c>
      <c r="M10" s="25">
        <f>(+K10-L10)/L10</f>
        <v>-0.01760085966577611</v>
      </c>
      <c r="N10" s="10"/>
      <c r="R10" s="2"/>
    </row>
    <row r="11" spans="1:18" ht="15.75">
      <c r="A11" s="19"/>
      <c r="B11" s="20">
        <f>DATE(2015,9,1)</f>
        <v>42248</v>
      </c>
      <c r="C11" s="21">
        <v>266481</v>
      </c>
      <c r="D11" s="22">
        <v>248158</v>
      </c>
      <c r="E11" s="23">
        <f>(+C11-D11)/D11</f>
        <v>0.07383602382353179</v>
      </c>
      <c r="F11" s="21">
        <f>+C11-126933</f>
        <v>139548</v>
      </c>
      <c r="G11" s="21">
        <f>+D11-120172</f>
        <v>127986</v>
      </c>
      <c r="H11" s="23">
        <f>(+F11-G11)/G11</f>
        <v>0.09033800571937556</v>
      </c>
      <c r="I11" s="24">
        <f>K11/C11</f>
        <v>44.13791302194152</v>
      </c>
      <c r="J11" s="24">
        <f>K11/F11</f>
        <v>84.28580273454294</v>
      </c>
      <c r="K11" s="21">
        <v>11761915.2</v>
      </c>
      <c r="L11" s="21">
        <v>10627922.3</v>
      </c>
      <c r="M11" s="25">
        <f>(+K11-L11)/L11</f>
        <v>0.10669939692728074</v>
      </c>
      <c r="N11" s="10"/>
      <c r="R11" s="2"/>
    </row>
    <row r="12" spans="1:18" ht="15.75">
      <c r="A12" s="19"/>
      <c r="B12" s="20">
        <f>DATE(2015,10,1)</f>
        <v>42278</v>
      </c>
      <c r="C12" s="21">
        <v>273087</v>
      </c>
      <c r="D12" s="22">
        <v>266065</v>
      </c>
      <c r="E12" s="23">
        <f>(+C12-D12)/D12</f>
        <v>0.026392047056170483</v>
      </c>
      <c r="F12" s="21">
        <f>+C12-130295</f>
        <v>142792</v>
      </c>
      <c r="G12" s="21">
        <f>+D12-128901</f>
        <v>137164</v>
      </c>
      <c r="H12" s="23">
        <f>(+F12-G12)/G12</f>
        <v>0.041031174360619406</v>
      </c>
      <c r="I12" s="24">
        <f>K12/C12</f>
        <v>45.32981306323626</v>
      </c>
      <c r="J12" s="24">
        <f>K12/F12</f>
        <v>86.69241035912376</v>
      </c>
      <c r="K12" s="21">
        <v>12378982.66</v>
      </c>
      <c r="L12" s="21">
        <v>11463260.33</v>
      </c>
      <c r="M12" s="25">
        <f>(+K12-L12)/L12</f>
        <v>0.07988323597637428</v>
      </c>
      <c r="N12" s="10"/>
      <c r="R12" s="2"/>
    </row>
    <row r="13" spans="1:18" ht="15.75">
      <c r="A13" s="19"/>
      <c r="B13" s="20">
        <f>DATE(2015,11,1)</f>
        <v>42309</v>
      </c>
      <c r="C13" s="21">
        <v>257636</v>
      </c>
      <c r="D13" s="22">
        <v>269524</v>
      </c>
      <c r="E13" s="23">
        <f>(+C13-D13)/D13</f>
        <v>-0.04410738932339977</v>
      </c>
      <c r="F13" s="21">
        <f>+C13-124268</f>
        <v>133368</v>
      </c>
      <c r="G13" s="21">
        <f>+D13-132202</f>
        <v>137322</v>
      </c>
      <c r="H13" s="23">
        <f>(+F13-G13)/G13</f>
        <v>-0.02879363830995762</v>
      </c>
      <c r="I13" s="24">
        <f>K13/C13</f>
        <v>44.65663412721825</v>
      </c>
      <c r="J13" s="24">
        <f>K13/F13</f>
        <v>86.26624520124767</v>
      </c>
      <c r="K13" s="21">
        <v>11505156.59</v>
      </c>
      <c r="L13" s="21">
        <v>11505720.63</v>
      </c>
      <c r="M13" s="25">
        <f>(+K13-L13)/L13</f>
        <v>-4.902257043598742E-05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Bot="1" thickTop="1">
      <c r="A15" s="26" t="s">
        <v>14</v>
      </c>
      <c r="B15" s="27"/>
      <c r="C15" s="28">
        <f>SUM(C9:C14)</f>
        <v>1354803</v>
      </c>
      <c r="D15" s="28">
        <f>SUM(D9:D14)</f>
        <v>1328576</v>
      </c>
      <c r="E15" s="279">
        <f>(+C15-D15)/D15</f>
        <v>0.019740684763235223</v>
      </c>
      <c r="F15" s="28">
        <f>SUM(F9:F14)</f>
        <v>706835</v>
      </c>
      <c r="G15" s="28">
        <f>SUM(G9:G14)</f>
        <v>684729</v>
      </c>
      <c r="H15" s="30">
        <f>(+F15-G15)/G15</f>
        <v>0.03228430517766883</v>
      </c>
      <c r="I15" s="31">
        <f>K15/C15</f>
        <v>44.616764990924885</v>
      </c>
      <c r="J15" s="31">
        <f>K15/F15</f>
        <v>85.51773336068531</v>
      </c>
      <c r="K15" s="28">
        <f>SUM(K9:K14)</f>
        <v>60446927.06</v>
      </c>
      <c r="L15" s="28">
        <f>SUM(L9:L14)</f>
        <v>56904338.690000005</v>
      </c>
      <c r="M15" s="32">
        <f>(+K15-L15)/L15</f>
        <v>0.06225515402786938</v>
      </c>
      <c r="N15" s="10"/>
      <c r="R15" s="2"/>
    </row>
    <row r="16" spans="1:18" ht="15.75" customHeight="1" thickTop="1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5"/>
      <c r="L16" s="195"/>
      <c r="M16" s="18"/>
      <c r="N16" s="10"/>
      <c r="R16" s="2"/>
    </row>
    <row r="17" spans="1:18" ht="15.75">
      <c r="A17" s="19" t="s">
        <v>15</v>
      </c>
      <c r="B17" s="20">
        <f>DATE(2015,7,1)</f>
        <v>42186</v>
      </c>
      <c r="C17" s="21">
        <v>164324</v>
      </c>
      <c r="D17" s="21">
        <v>174037</v>
      </c>
      <c r="E17" s="23">
        <f>(+C17-D17)/D17</f>
        <v>-0.05580997144285411</v>
      </c>
      <c r="F17" s="21">
        <f>+C17-76751</f>
        <v>87573</v>
      </c>
      <c r="G17" s="21">
        <f>+D17-81593</f>
        <v>92444</v>
      </c>
      <c r="H17" s="23">
        <f>(+F17-G17)/G17</f>
        <v>-0.052691359093072564</v>
      </c>
      <c r="I17" s="24">
        <f>K17/C17</f>
        <v>43.29568687471094</v>
      </c>
      <c r="J17" s="24">
        <f>K17/F17</f>
        <v>81.24102691468832</v>
      </c>
      <c r="K17" s="21">
        <v>7114520.45</v>
      </c>
      <c r="L17" s="21">
        <v>6930881.36</v>
      </c>
      <c r="M17" s="25">
        <f>(+K17-L17)/L17</f>
        <v>0.026495777443231238</v>
      </c>
      <c r="N17" s="10"/>
      <c r="R17" s="2"/>
    </row>
    <row r="18" spans="1:18" ht="15.75">
      <c r="A18" s="19"/>
      <c r="B18" s="20">
        <f>DATE(2015,8,1)</f>
        <v>42217</v>
      </c>
      <c r="C18" s="21">
        <v>158974</v>
      </c>
      <c r="D18" s="21">
        <v>180474</v>
      </c>
      <c r="E18" s="23">
        <f>(+C18-D18)/D18</f>
        <v>-0.11913073351286058</v>
      </c>
      <c r="F18" s="21">
        <f>+C18-74515</f>
        <v>84459</v>
      </c>
      <c r="G18" s="21">
        <f>+D18-84762</f>
        <v>95712</v>
      </c>
      <c r="H18" s="23">
        <f>(+F18-G18)/G18</f>
        <v>-0.11757146439317955</v>
      </c>
      <c r="I18" s="24">
        <f>K18/C18</f>
        <v>43.06633342559161</v>
      </c>
      <c r="J18" s="24">
        <f>K18/F18</f>
        <v>81.06214009164209</v>
      </c>
      <c r="K18" s="21">
        <v>6846427.29</v>
      </c>
      <c r="L18" s="21">
        <v>7164391.37</v>
      </c>
      <c r="M18" s="25">
        <f>(+K18-L18)/L18</f>
        <v>-0.04438117120896483</v>
      </c>
      <c r="N18" s="10"/>
      <c r="R18" s="2"/>
    </row>
    <row r="19" spans="1:18" ht="15.75">
      <c r="A19" s="19"/>
      <c r="B19" s="20">
        <f>DATE(2015,9,1)</f>
        <v>42248</v>
      </c>
      <c r="C19" s="21">
        <v>146143</v>
      </c>
      <c r="D19" s="21">
        <v>159026</v>
      </c>
      <c r="E19" s="23">
        <f>(+C19-D19)/D19</f>
        <v>-0.08101191000213802</v>
      </c>
      <c r="F19" s="21">
        <f>+C19-69315</f>
        <v>76828</v>
      </c>
      <c r="G19" s="21">
        <f>+D19-73696</f>
        <v>85330</v>
      </c>
      <c r="H19" s="23">
        <f>(+F19-G19)/G19</f>
        <v>-0.09963670455877183</v>
      </c>
      <c r="I19" s="24">
        <f>K19/C19</f>
        <v>43.931682119567824</v>
      </c>
      <c r="J19" s="24">
        <f>K19/F19</f>
        <v>83.5672908314677</v>
      </c>
      <c r="K19" s="21">
        <v>6420307.82</v>
      </c>
      <c r="L19" s="21">
        <v>6588351.74</v>
      </c>
      <c r="M19" s="25">
        <f>(+K19-L19)/L19</f>
        <v>-0.025506215610765177</v>
      </c>
      <c r="N19" s="10"/>
      <c r="R19" s="2"/>
    </row>
    <row r="20" spans="1:18" ht="15.75">
      <c r="A20" s="19"/>
      <c r="B20" s="20">
        <f>DATE(2015,10,1)</f>
        <v>42278</v>
      </c>
      <c r="C20" s="21">
        <v>149295</v>
      </c>
      <c r="D20" s="21">
        <v>161024</v>
      </c>
      <c r="E20" s="23">
        <f>(+C20-D20)/D20</f>
        <v>-0.07284007352941177</v>
      </c>
      <c r="F20" s="21">
        <f>+C20-72382</f>
        <v>76913</v>
      </c>
      <c r="G20" s="21">
        <f>+D20-74934</f>
        <v>86090</v>
      </c>
      <c r="H20" s="23">
        <f>(+F20-G20)/G20</f>
        <v>-0.10659774654431409</v>
      </c>
      <c r="I20" s="24">
        <f>K20/C20</f>
        <v>44.381484778458756</v>
      </c>
      <c r="J20" s="24">
        <f>K20/F20</f>
        <v>86.14842445360341</v>
      </c>
      <c r="K20" s="21">
        <v>6625933.77</v>
      </c>
      <c r="L20" s="21">
        <v>6490398.22</v>
      </c>
      <c r="M20" s="25">
        <f>(+K20-L20)/L20</f>
        <v>0.02088247059823701</v>
      </c>
      <c r="N20" s="10"/>
      <c r="R20" s="2"/>
    </row>
    <row r="21" spans="1:18" ht="15.75">
      <c r="A21" s="19"/>
      <c r="B21" s="20">
        <f>DATE(2015,11,1)</f>
        <v>42309</v>
      </c>
      <c r="C21" s="21">
        <v>138430</v>
      </c>
      <c r="D21" s="21">
        <v>153994</v>
      </c>
      <c r="E21" s="23">
        <f>(+C21-D21)/D21</f>
        <v>-0.10106887281322649</v>
      </c>
      <c r="F21" s="21">
        <f>+C21-67165</f>
        <v>71265</v>
      </c>
      <c r="G21" s="21">
        <f>+D21-72262</f>
        <v>81732</v>
      </c>
      <c r="H21" s="23">
        <f>(+F21-G21)/G21</f>
        <v>-0.1280648950227573</v>
      </c>
      <c r="I21" s="24">
        <f>K21/C21</f>
        <v>45.99079404753305</v>
      </c>
      <c r="J21" s="24">
        <f>K21/F21</f>
        <v>89.33565733529784</v>
      </c>
      <c r="K21" s="21">
        <v>6366505.62</v>
      </c>
      <c r="L21" s="21">
        <v>6234182.45</v>
      </c>
      <c r="M21" s="25">
        <f>(+K21-L21)/L21</f>
        <v>0.021225424674569785</v>
      </c>
      <c r="N21" s="10"/>
      <c r="R21" s="2"/>
    </row>
    <row r="22" spans="1:18" ht="15.75" customHeight="1" thickBot="1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Bot="1" thickTop="1">
      <c r="A23" s="26" t="s">
        <v>14</v>
      </c>
      <c r="B23" s="27"/>
      <c r="C23" s="28">
        <f>SUM(C17:C22)</f>
        <v>757166</v>
      </c>
      <c r="D23" s="28">
        <f>SUM(D17:D22)</f>
        <v>828555</v>
      </c>
      <c r="E23" s="279">
        <f>(+C23-D23)/D23</f>
        <v>-0.08616084629264201</v>
      </c>
      <c r="F23" s="28">
        <f>SUM(F17:F22)</f>
        <v>397038</v>
      </c>
      <c r="G23" s="28">
        <f>SUM(G17:G22)</f>
        <v>441308</v>
      </c>
      <c r="H23" s="30">
        <f>(+F23-G23)/G23</f>
        <v>-0.10031542596100683</v>
      </c>
      <c r="I23" s="31">
        <f>K23/C23</f>
        <v>44.07711776545698</v>
      </c>
      <c r="J23" s="31">
        <f>K23/F23</f>
        <v>84.05667706869369</v>
      </c>
      <c r="K23" s="28">
        <f>SUM(K17:K22)</f>
        <v>33373694.950000003</v>
      </c>
      <c r="L23" s="28">
        <f>SUM(L17:L22)</f>
        <v>33408205.139999997</v>
      </c>
      <c r="M23" s="32">
        <f>(+K23-L23)/L23</f>
        <v>-0.0010329854553806745</v>
      </c>
      <c r="N23" s="10"/>
      <c r="R23" s="2"/>
    </row>
    <row r="24" spans="1:18" ht="15.75" customHeight="1" thickTop="1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>
      <c r="A25" s="19" t="s">
        <v>56</v>
      </c>
      <c r="B25" s="20">
        <f>DATE(2015,7,1)</f>
        <v>42186</v>
      </c>
      <c r="C25" s="21">
        <v>78226</v>
      </c>
      <c r="D25" s="21">
        <v>72401</v>
      </c>
      <c r="E25" s="23">
        <f>(+C25-D25)/D25</f>
        <v>0.0804546898523501</v>
      </c>
      <c r="F25" s="21">
        <f>+C25-41895</f>
        <v>36331</v>
      </c>
      <c r="G25" s="21">
        <f>+D25-40333</f>
        <v>32068</v>
      </c>
      <c r="H25" s="23">
        <f>(+F25-G25)/G25</f>
        <v>0.13293626044655107</v>
      </c>
      <c r="I25" s="24">
        <f>K25/C25</f>
        <v>40.233931812952214</v>
      </c>
      <c r="J25" s="24">
        <f>K25/F25</f>
        <v>86.62958767994274</v>
      </c>
      <c r="K25" s="21">
        <v>3147339.55</v>
      </c>
      <c r="L25" s="21">
        <v>2763636.3</v>
      </c>
      <c r="M25" s="25">
        <f>(+K25-L25)/L25</f>
        <v>0.13883999497328936</v>
      </c>
      <c r="N25" s="10"/>
      <c r="R25" s="2"/>
    </row>
    <row r="26" spans="1:18" ht="15.75" customHeight="1">
      <c r="A26" s="19"/>
      <c r="B26" s="20">
        <f>DATE(2015,8,1)</f>
        <v>42217</v>
      </c>
      <c r="C26" s="21">
        <v>76190</v>
      </c>
      <c r="D26" s="21">
        <v>78277</v>
      </c>
      <c r="E26" s="23">
        <f>(+C26-D26)/D26</f>
        <v>-0.02666172694405764</v>
      </c>
      <c r="F26" s="21">
        <f>+C26-42305</f>
        <v>33885</v>
      </c>
      <c r="G26" s="21">
        <f>+D26-44305</f>
        <v>33972</v>
      </c>
      <c r="H26" s="23">
        <f>(+F26-G26)/G26</f>
        <v>-0.0025609325326739667</v>
      </c>
      <c r="I26" s="24">
        <f>K26/C26</f>
        <v>39.02278015487597</v>
      </c>
      <c r="J26" s="24">
        <f>K26/F26</f>
        <v>87.7422346170872</v>
      </c>
      <c r="K26" s="21">
        <v>2973145.62</v>
      </c>
      <c r="L26" s="21">
        <v>2998372.97</v>
      </c>
      <c r="M26" s="25">
        <f>(+K26-L26)/L26</f>
        <v>-0.008413679769798649</v>
      </c>
      <c r="N26" s="10"/>
      <c r="R26" s="2"/>
    </row>
    <row r="27" spans="1:18" ht="15.75" customHeight="1">
      <c r="A27" s="19"/>
      <c r="B27" s="20">
        <f>DATE(2015,9,1)</f>
        <v>42248</v>
      </c>
      <c r="C27" s="21">
        <v>75613</v>
      </c>
      <c r="D27" s="21">
        <v>63778</v>
      </c>
      <c r="E27" s="23">
        <f>(+C27-D27)/D27</f>
        <v>0.18556555552071247</v>
      </c>
      <c r="F27" s="21">
        <f>+C27-41529</f>
        <v>34084</v>
      </c>
      <c r="G27" s="21">
        <f>+D27-35884</f>
        <v>27894</v>
      </c>
      <c r="H27" s="23">
        <f>(+F27-G27)/G27</f>
        <v>0.22191152219115223</v>
      </c>
      <c r="I27" s="24">
        <f>K27/C27</f>
        <v>38.98131062118948</v>
      </c>
      <c r="J27" s="24">
        <f>K27/F27</f>
        <v>86.47734538199741</v>
      </c>
      <c r="K27" s="21">
        <v>2947493.84</v>
      </c>
      <c r="L27" s="21">
        <v>2596370.28</v>
      </c>
      <c r="M27" s="25">
        <f>(+K27-L27)/L27</f>
        <v>0.13523631922023083</v>
      </c>
      <c r="N27" s="10"/>
      <c r="R27" s="2"/>
    </row>
    <row r="28" spans="1:18" ht="15.75" customHeight="1">
      <c r="A28" s="19"/>
      <c r="B28" s="20">
        <f>DATE(2015,10,1)</f>
        <v>42278</v>
      </c>
      <c r="C28" s="21">
        <v>72400</v>
      </c>
      <c r="D28" s="21">
        <v>68120</v>
      </c>
      <c r="E28" s="23">
        <f>(+C28-D28)/D28</f>
        <v>0.06283029947152084</v>
      </c>
      <c r="F28" s="21">
        <f>+C28-40475</f>
        <v>31925</v>
      </c>
      <c r="G28" s="21">
        <f>+D28-39168</f>
        <v>28952</v>
      </c>
      <c r="H28" s="23">
        <f>(+F28-G28)/G28</f>
        <v>0.10268720641061066</v>
      </c>
      <c r="I28" s="24">
        <f>K28/C28</f>
        <v>42.732071961325964</v>
      </c>
      <c r="J28" s="24">
        <f>K28/F28</f>
        <v>96.90844197337509</v>
      </c>
      <c r="K28" s="21">
        <v>3093802.01</v>
      </c>
      <c r="L28" s="21">
        <v>2578417.74</v>
      </c>
      <c r="M28" s="25">
        <f>(+K28-L28)/L28</f>
        <v>0.19988392959164153</v>
      </c>
      <c r="N28" s="10"/>
      <c r="R28" s="2"/>
    </row>
    <row r="29" spans="1:18" ht="15.75" customHeight="1">
      <c r="A29" s="19"/>
      <c r="B29" s="20">
        <f>DATE(2015,11,1)</f>
        <v>42309</v>
      </c>
      <c r="C29" s="21">
        <v>67800</v>
      </c>
      <c r="D29" s="21">
        <v>70883</v>
      </c>
      <c r="E29" s="23">
        <f>(+C29-D29)/D29</f>
        <v>-0.043494208766558975</v>
      </c>
      <c r="F29" s="21">
        <f>+C29-38232</f>
        <v>29568</v>
      </c>
      <c r="G29" s="21">
        <f>+D29-40956</f>
        <v>29927</v>
      </c>
      <c r="H29" s="23">
        <f>(+F29-G29)/G29</f>
        <v>-0.011995856584355265</v>
      </c>
      <c r="I29" s="24">
        <f>K29/C29</f>
        <v>41.07879926253687</v>
      </c>
      <c r="J29" s="24">
        <f>K29/F29</f>
        <v>94.19448694534631</v>
      </c>
      <c r="K29" s="21">
        <v>2785142.59</v>
      </c>
      <c r="L29" s="21">
        <v>2753920.21</v>
      </c>
      <c r="M29" s="25">
        <f>(+K29-L29)/L29</f>
        <v>0.011337430869139048</v>
      </c>
      <c r="N29" s="10"/>
      <c r="R29" s="2"/>
    </row>
    <row r="30" spans="1:18" ht="15.75" customHeight="1" thickBot="1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40"/>
      <c r="C31" s="41">
        <f>SUM(C25:C30)</f>
        <v>370229</v>
      </c>
      <c r="D31" s="41">
        <f>SUM(D25:D30)</f>
        <v>353459</v>
      </c>
      <c r="E31" s="280">
        <f>(+C31-D31)/D31</f>
        <v>0.04744538970573673</v>
      </c>
      <c r="F31" s="41">
        <f>SUM(F25:F30)</f>
        <v>165793</v>
      </c>
      <c r="G31" s="41">
        <f>SUM(G25:G30)</f>
        <v>152813</v>
      </c>
      <c r="H31" s="42">
        <f>(+F31-G31)/G31</f>
        <v>0.08494041737286749</v>
      </c>
      <c r="I31" s="43">
        <f>K31/C31</f>
        <v>40.37210377901245</v>
      </c>
      <c r="J31" s="43">
        <f>K31/F31</f>
        <v>90.154129607402</v>
      </c>
      <c r="K31" s="41">
        <f>SUM(K25:K30)</f>
        <v>14946923.61</v>
      </c>
      <c r="L31" s="41">
        <f>SUM(L25:L30)</f>
        <v>13690717.5</v>
      </c>
      <c r="M31" s="44">
        <f>(+K31-L31)/L31</f>
        <v>0.09175604638690407</v>
      </c>
      <c r="N31" s="10"/>
      <c r="R31" s="2"/>
    </row>
    <row r="32" spans="1:18" ht="15.75" customHeight="1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>
      <c r="A33" s="177" t="s">
        <v>65</v>
      </c>
      <c r="B33" s="20">
        <f>DATE(2015,7,1)</f>
        <v>42186</v>
      </c>
      <c r="C33" s="21">
        <v>494900</v>
      </c>
      <c r="D33" s="21">
        <v>421533</v>
      </c>
      <c r="E33" s="23">
        <f>(+C33-D33)/D33</f>
        <v>0.17404805792191833</v>
      </c>
      <c r="F33" s="21">
        <f>+C33-253523</f>
        <v>241377</v>
      </c>
      <c r="G33" s="21">
        <f>+D33-215434</f>
        <v>206099</v>
      </c>
      <c r="H33" s="23">
        <f>(+F33-G33)/G33</f>
        <v>0.17117016579410865</v>
      </c>
      <c r="I33" s="24">
        <f>K33/C33</f>
        <v>42.1644828854314</v>
      </c>
      <c r="J33" s="24">
        <f>K33/F33</f>
        <v>86.45066671638142</v>
      </c>
      <c r="K33" s="21">
        <v>20867202.58</v>
      </c>
      <c r="L33" s="21">
        <v>19047462.93</v>
      </c>
      <c r="M33" s="25">
        <f>(+K33-L33)/L33</f>
        <v>0.09553711466391071</v>
      </c>
      <c r="N33" s="10"/>
      <c r="R33" s="2"/>
    </row>
    <row r="34" spans="1:18" ht="15.75" customHeight="1">
      <c r="A34" s="177"/>
      <c r="B34" s="20">
        <f>DATE(2015,8,1)</f>
        <v>42217</v>
      </c>
      <c r="C34" s="21">
        <v>472774</v>
      </c>
      <c r="D34" s="21">
        <v>422369</v>
      </c>
      <c r="E34" s="23">
        <f>(+C34-D34)/D34</f>
        <v>0.1193387772303365</v>
      </c>
      <c r="F34" s="21">
        <f>+C34-244366</f>
        <v>228408</v>
      </c>
      <c r="G34" s="21">
        <f>+D34-216914</f>
        <v>205455</v>
      </c>
      <c r="H34" s="23">
        <f>(+F34-G34)/G34</f>
        <v>0.11171789442943711</v>
      </c>
      <c r="I34" s="24">
        <f>K34/C34</f>
        <v>42.89571638880311</v>
      </c>
      <c r="J34" s="24">
        <f>K34/F34</f>
        <v>88.78839366396974</v>
      </c>
      <c r="K34" s="21">
        <v>20279979.42</v>
      </c>
      <c r="L34" s="21">
        <v>18010712.78</v>
      </c>
      <c r="M34" s="25">
        <f>(+K34-L34)/L34</f>
        <v>0.12599538217720668</v>
      </c>
      <c r="N34" s="10"/>
      <c r="R34" s="2"/>
    </row>
    <row r="35" spans="1:18" ht="15.75" customHeight="1">
      <c r="A35" s="177"/>
      <c r="B35" s="20">
        <f>DATE(2015,9,1)</f>
        <v>42248</v>
      </c>
      <c r="C35" s="21">
        <v>426295</v>
      </c>
      <c r="D35" s="21">
        <v>375953</v>
      </c>
      <c r="E35" s="23">
        <f>(+C35-D35)/D35</f>
        <v>0.13390503600184064</v>
      </c>
      <c r="F35" s="21">
        <f>+C35-222099</f>
        <v>204196</v>
      </c>
      <c r="G35" s="21">
        <f>+D35-189575</f>
        <v>186378</v>
      </c>
      <c r="H35" s="23">
        <f>(+F35-G35)/G35</f>
        <v>0.09560141218384144</v>
      </c>
      <c r="I35" s="24">
        <f>K35/C35</f>
        <v>41.673228351259105</v>
      </c>
      <c r="J35" s="24">
        <f>K35/F35</f>
        <v>87.0001806107857</v>
      </c>
      <c r="K35" s="21">
        <v>17765088.88</v>
      </c>
      <c r="L35" s="21">
        <v>16482379.37</v>
      </c>
      <c r="M35" s="25">
        <f>(+K35-L35)/L35</f>
        <v>0.07782307888961057</v>
      </c>
      <c r="N35" s="10"/>
      <c r="R35" s="2"/>
    </row>
    <row r="36" spans="1:18" ht="15.75" customHeight="1">
      <c r="A36" s="177"/>
      <c r="B36" s="20">
        <f>DATE(2015,10,1)</f>
        <v>42278</v>
      </c>
      <c r="C36" s="21">
        <v>431355</v>
      </c>
      <c r="D36" s="21">
        <v>409850</v>
      </c>
      <c r="E36" s="23">
        <f>(+C36-D36)/D36</f>
        <v>0.0524704160058558</v>
      </c>
      <c r="F36" s="21">
        <f>+C36-225238</f>
        <v>206117</v>
      </c>
      <c r="G36" s="21">
        <f>+D36-207246</f>
        <v>202604</v>
      </c>
      <c r="H36" s="23">
        <f>(+F36-G36)/G36</f>
        <v>0.017339243055418452</v>
      </c>
      <c r="I36" s="24">
        <f>K36/C36</f>
        <v>43.315313535255186</v>
      </c>
      <c r="J36" s="24">
        <f>K36/F36</f>
        <v>90.64888907756274</v>
      </c>
      <c r="K36" s="21">
        <v>18684277.07</v>
      </c>
      <c r="L36" s="21">
        <v>18107850.71</v>
      </c>
      <c r="M36" s="25">
        <f>(+K36-L36)/L36</f>
        <v>0.031832952967834546</v>
      </c>
      <c r="N36" s="10"/>
      <c r="R36" s="2"/>
    </row>
    <row r="37" spans="1:18" ht="15.75" customHeight="1">
      <c r="A37" s="177"/>
      <c r="B37" s="20">
        <f>DATE(2015,11,1)</f>
        <v>42309</v>
      </c>
      <c r="C37" s="21">
        <v>420050</v>
      </c>
      <c r="D37" s="21">
        <v>406554</v>
      </c>
      <c r="E37" s="23">
        <f>(+C37-D37)/D37</f>
        <v>0.03319608219326338</v>
      </c>
      <c r="F37" s="21">
        <f>+C37-218810</f>
        <v>201240</v>
      </c>
      <c r="G37" s="21">
        <f>+D37-206259</f>
        <v>200295</v>
      </c>
      <c r="H37" s="23">
        <f>(+F37-G37)/G37</f>
        <v>0.00471804088968771</v>
      </c>
      <c r="I37" s="24">
        <f>K37/C37</f>
        <v>42.40253086537317</v>
      </c>
      <c r="J37" s="24">
        <f>K37/F37</f>
        <v>88.50717098986284</v>
      </c>
      <c r="K37" s="21">
        <v>17811183.09</v>
      </c>
      <c r="L37" s="21">
        <v>17199174.3</v>
      </c>
      <c r="M37" s="25">
        <f>(+K37-L37)/L37</f>
        <v>0.03558361461573182</v>
      </c>
      <c r="N37" s="10"/>
      <c r="R37" s="2"/>
    </row>
    <row r="38" spans="1:18" ht="15.75" thickBot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SUM(C33:C38)</f>
        <v>2245374</v>
      </c>
      <c r="D39" s="41">
        <f>SUM(D33:D38)</f>
        <v>2036259</v>
      </c>
      <c r="E39" s="280">
        <f>(+C39-D39)/D39</f>
        <v>0.10269567869313284</v>
      </c>
      <c r="F39" s="41">
        <f>SUM(F33:F38)</f>
        <v>1081338</v>
      </c>
      <c r="G39" s="41">
        <f>SUM(G33:G38)</f>
        <v>1000831</v>
      </c>
      <c r="H39" s="42">
        <f>(+F39-G39)/G39</f>
        <v>0.08044015423183334</v>
      </c>
      <c r="I39" s="43">
        <f>K39/C39</f>
        <v>42.490797096608404</v>
      </c>
      <c r="J39" s="43">
        <f>K39/F39</f>
        <v>88.23118307134308</v>
      </c>
      <c r="K39" s="41">
        <f>SUM(K33:K38)</f>
        <v>95407731.03999999</v>
      </c>
      <c r="L39" s="41">
        <f>SUM(L33:L38)</f>
        <v>88847580.08999999</v>
      </c>
      <c r="M39" s="44">
        <f>(+K39-L39)/L39</f>
        <v>0.07383601155321015</v>
      </c>
      <c r="N39" s="10"/>
      <c r="R39" s="2"/>
    </row>
    <row r="40" spans="1:18" ht="15.75" thickTop="1">
      <c r="A40" s="38"/>
      <c r="B40" s="45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>
      <c r="A41" s="19" t="s">
        <v>16</v>
      </c>
      <c r="B41" s="20">
        <f>DATE(2015,7,1)</f>
        <v>42186</v>
      </c>
      <c r="C41" s="21">
        <v>319208</v>
      </c>
      <c r="D41" s="21">
        <v>319198</v>
      </c>
      <c r="E41" s="23">
        <f>(+C41-D41)/D41</f>
        <v>3.132851709597178E-05</v>
      </c>
      <c r="F41" s="21">
        <f>+C41-150159</f>
        <v>169049</v>
      </c>
      <c r="G41" s="21">
        <f>+D41-151618</f>
        <v>167580</v>
      </c>
      <c r="H41" s="23">
        <f>(+F41-G41)/G41</f>
        <v>0.008765962525361022</v>
      </c>
      <c r="I41" s="24">
        <f>K41/C41</f>
        <v>44.95467607328137</v>
      </c>
      <c r="J41" s="24">
        <f>K41/F41</f>
        <v>84.885993055268</v>
      </c>
      <c r="K41" s="21">
        <v>14349892.24</v>
      </c>
      <c r="L41" s="21">
        <v>14419954.22</v>
      </c>
      <c r="M41" s="25">
        <f>(+K41-L41)/L41</f>
        <v>-0.004858682554125366</v>
      </c>
      <c r="N41" s="10"/>
      <c r="R41" s="2"/>
    </row>
    <row r="42" spans="1:18" ht="15.75">
      <c r="A42" s="19"/>
      <c r="B42" s="20">
        <f>DATE(2015,8,1)</f>
        <v>42217</v>
      </c>
      <c r="C42" s="21">
        <v>315655</v>
      </c>
      <c r="D42" s="21">
        <v>344204</v>
      </c>
      <c r="E42" s="23">
        <f>(+C42-D42)/D42</f>
        <v>-0.0829420924800409</v>
      </c>
      <c r="F42" s="21">
        <f>+C42-148337</f>
        <v>167318</v>
      </c>
      <c r="G42" s="21">
        <f>+D42-162416</f>
        <v>181788</v>
      </c>
      <c r="H42" s="23">
        <f>(+F42-G42)/G42</f>
        <v>-0.07959821330340837</v>
      </c>
      <c r="I42" s="24">
        <f>K42/C42</f>
        <v>44.97232367616543</v>
      </c>
      <c r="J42" s="24">
        <f>K42/F42</f>
        <v>84.84286705554692</v>
      </c>
      <c r="K42" s="21">
        <v>14195738.83</v>
      </c>
      <c r="L42" s="21">
        <v>14750519.41</v>
      </c>
      <c r="M42" s="25">
        <f>(+K42-L42)/L42</f>
        <v>-0.037610918272063754</v>
      </c>
      <c r="N42" s="10"/>
      <c r="R42" s="2"/>
    </row>
    <row r="43" spans="1:18" ht="15.75">
      <c r="A43" s="19"/>
      <c r="B43" s="20">
        <f>DATE(2015,9,1)</f>
        <v>42248</v>
      </c>
      <c r="C43" s="21">
        <v>293454</v>
      </c>
      <c r="D43" s="21">
        <v>313842</v>
      </c>
      <c r="E43" s="23">
        <f>(+C43-D43)/D43</f>
        <v>-0.06496262450532433</v>
      </c>
      <c r="F43" s="21">
        <f>+C43-136436</f>
        <v>157018</v>
      </c>
      <c r="G43" s="21">
        <f>+D43-147906</f>
        <v>165936</v>
      </c>
      <c r="H43" s="23">
        <f>(+F43-G43)/G43</f>
        <v>-0.05374361199498602</v>
      </c>
      <c r="I43" s="24">
        <f>K43/C43</f>
        <v>44.27817126363928</v>
      </c>
      <c r="J43" s="24">
        <f>K43/F43</f>
        <v>82.75233712058491</v>
      </c>
      <c r="K43" s="21">
        <v>12993606.47</v>
      </c>
      <c r="L43" s="21">
        <v>14233727.27</v>
      </c>
      <c r="M43" s="25">
        <f>(+K43-L43)/L43</f>
        <v>-0.08712551368142091</v>
      </c>
      <c r="N43" s="10"/>
      <c r="R43" s="2"/>
    </row>
    <row r="44" spans="1:18" ht="15.75">
      <c r="A44" s="19"/>
      <c r="B44" s="20">
        <f>DATE(2015,10,1)</f>
        <v>42278</v>
      </c>
      <c r="C44" s="21">
        <v>315071</v>
      </c>
      <c r="D44" s="21">
        <v>313776</v>
      </c>
      <c r="E44" s="23">
        <f>(+C44-D44)/D44</f>
        <v>0.004127148029167304</v>
      </c>
      <c r="F44" s="21">
        <f>+C44-148719</f>
        <v>166352</v>
      </c>
      <c r="G44" s="21">
        <f>+D44-151498</f>
        <v>162278</v>
      </c>
      <c r="H44" s="23">
        <f>(+F44-G44)/G44</f>
        <v>0.025105066614082006</v>
      </c>
      <c r="I44" s="24">
        <f>K44/C44</f>
        <v>51.82029133116028</v>
      </c>
      <c r="J44" s="24">
        <f>K44/F44</f>
        <v>98.1477289722997</v>
      </c>
      <c r="K44" s="21">
        <v>16327071.01</v>
      </c>
      <c r="L44" s="21">
        <v>14691214.89</v>
      </c>
      <c r="M44" s="25">
        <f>(+K44-L44)/L44</f>
        <v>0.11134927453232557</v>
      </c>
      <c r="N44" s="10"/>
      <c r="R44" s="2"/>
    </row>
    <row r="45" spans="1:18" ht="15.75">
      <c r="A45" s="19"/>
      <c r="B45" s="20">
        <f>DATE(2015,11,1)</f>
        <v>42309</v>
      </c>
      <c r="C45" s="21">
        <v>297332</v>
      </c>
      <c r="D45" s="21">
        <v>315173</v>
      </c>
      <c r="E45" s="23">
        <f>(+C45-D45)/D45</f>
        <v>-0.056607006310819774</v>
      </c>
      <c r="F45" s="21">
        <f>+C45-141416</f>
        <v>155916</v>
      </c>
      <c r="G45" s="21">
        <f>+D45-150832</f>
        <v>164341</v>
      </c>
      <c r="H45" s="23">
        <f>(+F45-G45)/G45</f>
        <v>-0.05126535678862852</v>
      </c>
      <c r="I45" s="24">
        <f>K45/C45</f>
        <v>43.498170159955876</v>
      </c>
      <c r="J45" s="24">
        <f>K45/F45</f>
        <v>82.95106294414941</v>
      </c>
      <c r="K45" s="21">
        <v>12933397.93</v>
      </c>
      <c r="L45" s="21">
        <v>14399772.12</v>
      </c>
      <c r="M45" s="25">
        <f>(+K45-L45)/L45</f>
        <v>-0.10183315248186021</v>
      </c>
      <c r="N45" s="10"/>
      <c r="R45" s="2"/>
    </row>
    <row r="46" spans="1:18" ht="15.75" thickBot="1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SUM(C41:C46)</f>
        <v>1540720</v>
      </c>
      <c r="D47" s="41">
        <f>SUM(D41:D46)</f>
        <v>1606193</v>
      </c>
      <c r="E47" s="281">
        <f>(+C47-D47)/D47</f>
        <v>-0.04076284730415336</v>
      </c>
      <c r="F47" s="47">
        <f>SUM(F41:F46)</f>
        <v>815653</v>
      </c>
      <c r="G47" s="48">
        <f>SUM(G41:G46)</f>
        <v>841923</v>
      </c>
      <c r="H47" s="49">
        <f>(+F47-G47)/G47</f>
        <v>-0.031202378364767323</v>
      </c>
      <c r="I47" s="50">
        <f>K47/C47</f>
        <v>45.952351160496384</v>
      </c>
      <c r="J47" s="51">
        <f>K47/F47</f>
        <v>86.80125798593274</v>
      </c>
      <c r="K47" s="48">
        <f>SUM(K41:K46)</f>
        <v>70799706.47999999</v>
      </c>
      <c r="L47" s="47">
        <f>SUM(L41:L46)</f>
        <v>72495187.91000001</v>
      </c>
      <c r="M47" s="44">
        <f>(+K47-L47)/L47</f>
        <v>-0.023387503072685282</v>
      </c>
      <c r="N47" s="10"/>
      <c r="R47" s="2"/>
    </row>
    <row r="48" spans="1:18" ht="15.75" customHeight="1" thickTop="1">
      <c r="A48" s="273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274" t="s">
        <v>66</v>
      </c>
      <c r="B49" s="20">
        <f>DATE(2015,7,1)</f>
        <v>42186</v>
      </c>
      <c r="C49" s="21">
        <v>162841</v>
      </c>
      <c r="D49" s="21">
        <v>169515</v>
      </c>
      <c r="E49" s="23">
        <f>(+C49-D49)/D49</f>
        <v>-0.039371147096127185</v>
      </c>
      <c r="F49" s="21">
        <f>+C49-76529</f>
        <v>86312</v>
      </c>
      <c r="G49" s="21">
        <f>+D49-78908</f>
        <v>90607</v>
      </c>
      <c r="H49" s="23">
        <f>(+F49-G49)/G49</f>
        <v>-0.04740251856920547</v>
      </c>
      <c r="I49" s="24">
        <f>K49/C49</f>
        <v>32.48967876640404</v>
      </c>
      <c r="J49" s="24">
        <f>K49/F49</f>
        <v>61.29682755584392</v>
      </c>
      <c r="K49" s="21">
        <v>5290651.78</v>
      </c>
      <c r="L49" s="21">
        <v>5365526.65</v>
      </c>
      <c r="M49" s="25">
        <f>(+K49-L49)/L49</f>
        <v>-0.013954803486066016</v>
      </c>
      <c r="N49" s="10"/>
      <c r="R49" s="2"/>
    </row>
    <row r="50" spans="1:18" ht="15.75">
      <c r="A50" s="274"/>
      <c r="B50" s="20">
        <f>DATE(2015,8,1)</f>
        <v>42217</v>
      </c>
      <c r="C50" s="21">
        <v>166381</v>
      </c>
      <c r="D50" s="21">
        <v>181287</v>
      </c>
      <c r="E50" s="23">
        <f>(+C50-D50)/D50</f>
        <v>-0.0822232151229818</v>
      </c>
      <c r="F50" s="21">
        <f>+C50-77028</f>
        <v>89353</v>
      </c>
      <c r="G50" s="21">
        <f>+D50-83317</f>
        <v>97970</v>
      </c>
      <c r="H50" s="23">
        <f>(+F50-G50)/G50</f>
        <v>-0.08795549658058589</v>
      </c>
      <c r="I50" s="24">
        <f>K50/C50</f>
        <v>33.09861504618917</v>
      </c>
      <c r="J50" s="24">
        <f>K50/F50</f>
        <v>61.63173782637404</v>
      </c>
      <c r="K50" s="21">
        <v>5506980.67</v>
      </c>
      <c r="L50" s="21">
        <v>5756649.28</v>
      </c>
      <c r="M50" s="25">
        <f>(+K50-L50)/L50</f>
        <v>-0.04337047436039048</v>
      </c>
      <c r="N50" s="10"/>
      <c r="R50" s="2"/>
    </row>
    <row r="51" spans="1:18" ht="15.75">
      <c r="A51" s="274"/>
      <c r="B51" s="20">
        <f>DATE(2015,9,1)</f>
        <v>42248</v>
      </c>
      <c r="C51" s="21">
        <v>157763</v>
      </c>
      <c r="D51" s="21">
        <v>150132</v>
      </c>
      <c r="E51" s="23">
        <f>(+C51-D51)/D51</f>
        <v>0.050828604161671065</v>
      </c>
      <c r="F51" s="21">
        <f>+C51-73171</f>
        <v>84592</v>
      </c>
      <c r="G51" s="21">
        <f>+D51-69946</f>
        <v>80186</v>
      </c>
      <c r="H51" s="23">
        <f>(+F51-G51)/G51</f>
        <v>0.054947247649215575</v>
      </c>
      <c r="I51" s="24">
        <f>K51/C51</f>
        <v>31.97130746753041</v>
      </c>
      <c r="J51" s="24">
        <f>K51/F51</f>
        <v>59.6260802439947</v>
      </c>
      <c r="K51" s="21">
        <v>5043889.38</v>
      </c>
      <c r="L51" s="21">
        <v>4750473.68</v>
      </c>
      <c r="M51" s="25">
        <f>(+K51-L51)/L51</f>
        <v>0.06176556692342314</v>
      </c>
      <c r="N51" s="10"/>
      <c r="R51" s="2"/>
    </row>
    <row r="52" spans="1:18" ht="15.75">
      <c r="A52" s="274"/>
      <c r="B52" s="20">
        <f>DATE(2015,10,1)</f>
        <v>42278</v>
      </c>
      <c r="C52" s="21">
        <v>148479</v>
      </c>
      <c r="D52" s="21">
        <v>160851</v>
      </c>
      <c r="E52" s="23">
        <f>(+C52-D52)/D52</f>
        <v>-0.07691590353805695</v>
      </c>
      <c r="F52" s="21">
        <f>+C52-69682</f>
        <v>78797</v>
      </c>
      <c r="G52" s="21">
        <f>+D52-74039</f>
        <v>86812</v>
      </c>
      <c r="H52" s="23">
        <f>(+F52-G52)/G52</f>
        <v>-0.09232594572178962</v>
      </c>
      <c r="I52" s="24">
        <f>K52/C52</f>
        <v>36.3551096788098</v>
      </c>
      <c r="J52" s="24">
        <f>K52/F52</f>
        <v>68.50476959782733</v>
      </c>
      <c r="K52" s="21">
        <v>5397970.33</v>
      </c>
      <c r="L52" s="21">
        <v>5146264.1</v>
      </c>
      <c r="M52" s="25">
        <f>(+K52-L52)/L52</f>
        <v>0.04891047663099927</v>
      </c>
      <c r="N52" s="10"/>
      <c r="R52" s="2"/>
    </row>
    <row r="53" spans="1:18" ht="15.75">
      <c r="A53" s="274"/>
      <c r="B53" s="20">
        <f>DATE(2015,11,1)</f>
        <v>42309</v>
      </c>
      <c r="C53" s="21">
        <v>142172</v>
      </c>
      <c r="D53" s="21">
        <v>159639</v>
      </c>
      <c r="E53" s="23">
        <f>(+C53-D53)/D53</f>
        <v>-0.10941561899034698</v>
      </c>
      <c r="F53" s="21">
        <f>+C53-66990</f>
        <v>75182</v>
      </c>
      <c r="G53" s="21">
        <f>+D53-75628</f>
        <v>84011</v>
      </c>
      <c r="H53" s="23">
        <f>(+F53-G53)/G53</f>
        <v>-0.1050933806287272</v>
      </c>
      <c r="I53" s="24">
        <f>K53/C53</f>
        <v>34.286074895197366</v>
      </c>
      <c r="J53" s="24">
        <f>K53/F53</f>
        <v>64.83626187119258</v>
      </c>
      <c r="K53" s="21">
        <v>4874519.84</v>
      </c>
      <c r="L53" s="21">
        <v>4986145.93</v>
      </c>
      <c r="M53" s="25">
        <f>(+K53-L53)/L53</f>
        <v>-0.022387248902681005</v>
      </c>
      <c r="N53" s="10"/>
      <c r="R53" s="2"/>
    </row>
    <row r="54" spans="1:18" ht="15.75" customHeight="1" thickBot="1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customHeight="1" thickBot="1" thickTop="1">
      <c r="A55" s="39" t="s">
        <v>14</v>
      </c>
      <c r="B55" s="52"/>
      <c r="C55" s="47">
        <f>SUM(C49:C54)</f>
        <v>777636</v>
      </c>
      <c r="D55" s="48">
        <f>SUM(D49:D54)</f>
        <v>821424</v>
      </c>
      <c r="E55" s="281">
        <f>(+C55-D55)/D55</f>
        <v>-0.053307427102203</v>
      </c>
      <c r="F55" s="48">
        <f>SUM(F49:F54)</f>
        <v>414236</v>
      </c>
      <c r="G55" s="47">
        <f>SUM(G49:G54)</f>
        <v>439586</v>
      </c>
      <c r="H55" s="46">
        <f>(+F55-G55)/G55</f>
        <v>-0.05766789661181202</v>
      </c>
      <c r="I55" s="51">
        <f>K55/C55</f>
        <v>33.58127967326615</v>
      </c>
      <c r="J55" s="50">
        <f>K55/F55</f>
        <v>63.041387035409755</v>
      </c>
      <c r="K55" s="47">
        <f>SUM(K49:K54)</f>
        <v>26114011.999999996</v>
      </c>
      <c r="L55" s="48">
        <f>SUM(L49:L54)</f>
        <v>26005059.64</v>
      </c>
      <c r="M55" s="44">
        <f>(+K55-L55)/L55</f>
        <v>0.004189660070319903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17</v>
      </c>
      <c r="B57" s="20">
        <f>DATE(2015,7,1)</f>
        <v>42186</v>
      </c>
      <c r="C57" s="21">
        <v>222762</v>
      </c>
      <c r="D57" s="21">
        <v>237534</v>
      </c>
      <c r="E57" s="23">
        <f>(+C57-D57)/D57</f>
        <v>-0.062188991891687084</v>
      </c>
      <c r="F57" s="21">
        <f>+C57-111188</f>
        <v>111574</v>
      </c>
      <c r="G57" s="21">
        <f>+D57-122793</f>
        <v>114741</v>
      </c>
      <c r="H57" s="23">
        <f>(+F57-G57)/G57</f>
        <v>-0.027601293347626392</v>
      </c>
      <c r="I57" s="24">
        <f>K57/C57</f>
        <v>31.127868981244557</v>
      </c>
      <c r="J57" s="24">
        <f>K57/F57</f>
        <v>62.14804838044705</v>
      </c>
      <c r="K57" s="21">
        <v>6934106.35</v>
      </c>
      <c r="L57" s="21">
        <v>6344090.08</v>
      </c>
      <c r="M57" s="25">
        <f>(+K57-L57)/L57</f>
        <v>0.09300250509683802</v>
      </c>
      <c r="N57" s="10"/>
      <c r="R57" s="2"/>
    </row>
    <row r="58" spans="1:18" ht="15.75">
      <c r="A58" s="19"/>
      <c r="B58" s="20">
        <f>DATE(2015,8,1)</f>
        <v>42217</v>
      </c>
      <c r="C58" s="21">
        <v>204772</v>
      </c>
      <c r="D58" s="21">
        <v>229835</v>
      </c>
      <c r="E58" s="23">
        <f>(+C58-D58)/D58</f>
        <v>-0.10904779515739552</v>
      </c>
      <c r="F58" s="21">
        <f>+C58-100910</f>
        <v>103862</v>
      </c>
      <c r="G58" s="21">
        <f>+D58-114377</f>
        <v>115458</v>
      </c>
      <c r="H58" s="23">
        <f>(+F58-G58)/G58</f>
        <v>-0.10043479014013754</v>
      </c>
      <c r="I58" s="24">
        <f>K58/C58</f>
        <v>31.575567802238588</v>
      </c>
      <c r="J58" s="24">
        <f>K58/F58</f>
        <v>62.25368440815698</v>
      </c>
      <c r="K58" s="21">
        <v>6465792.17</v>
      </c>
      <c r="L58" s="21">
        <v>6420621.27</v>
      </c>
      <c r="M58" s="25">
        <f>(+K58-L58)/L58</f>
        <v>0.00703528492033301</v>
      </c>
      <c r="N58" s="10"/>
      <c r="R58" s="2"/>
    </row>
    <row r="59" spans="1:18" ht="15.75">
      <c r="A59" s="19"/>
      <c r="B59" s="20">
        <f>DATE(2015,9,1)</f>
        <v>42248</v>
      </c>
      <c r="C59" s="21">
        <v>195370</v>
      </c>
      <c r="D59" s="21">
        <v>204323</v>
      </c>
      <c r="E59" s="23">
        <f>(+C59-D59)/D59</f>
        <v>-0.043817876597348315</v>
      </c>
      <c r="F59" s="21">
        <f>+C59-98492</f>
        <v>96878</v>
      </c>
      <c r="G59" s="21">
        <f>+D59-98157</f>
        <v>106166</v>
      </c>
      <c r="H59" s="23">
        <f>(+F59-G59)/G59</f>
        <v>-0.08748563570257897</v>
      </c>
      <c r="I59" s="24">
        <f>K59/C59</f>
        <v>30.130336131442903</v>
      </c>
      <c r="J59" s="24">
        <f>K59/F59</f>
        <v>60.76264755672082</v>
      </c>
      <c r="K59" s="21">
        <v>5886563.77</v>
      </c>
      <c r="L59" s="21">
        <v>6024259.95</v>
      </c>
      <c r="M59" s="25">
        <f>(+K59-L59)/L59</f>
        <v>-0.022856945275079078</v>
      </c>
      <c r="N59" s="10"/>
      <c r="R59" s="2"/>
    </row>
    <row r="60" spans="1:18" ht="15.75">
      <c r="A60" s="19"/>
      <c r="B60" s="20">
        <f>DATE(2015,10,1)</f>
        <v>42278</v>
      </c>
      <c r="C60" s="21">
        <v>197483</v>
      </c>
      <c r="D60" s="21">
        <v>210762</v>
      </c>
      <c r="E60" s="23">
        <f>(+C60-D60)/D60</f>
        <v>-0.06300471622019149</v>
      </c>
      <c r="F60" s="21">
        <f>+C60-99879</f>
        <v>97604</v>
      </c>
      <c r="G60" s="21">
        <f>+D60-103458</f>
        <v>107304</v>
      </c>
      <c r="H60" s="23">
        <f>(+F60-G60)/G60</f>
        <v>-0.09039737568031014</v>
      </c>
      <c r="I60" s="24">
        <f>K60/C60</f>
        <v>30.691315201814838</v>
      </c>
      <c r="J60" s="24">
        <f>K60/F60</f>
        <v>62.09799803286751</v>
      </c>
      <c r="K60" s="21">
        <v>6061013</v>
      </c>
      <c r="L60" s="21">
        <v>6247990.4</v>
      </c>
      <c r="M60" s="25">
        <f>(+K60-L60)/L60</f>
        <v>-0.029926006288357992</v>
      </c>
      <c r="N60" s="10"/>
      <c r="R60" s="2"/>
    </row>
    <row r="61" spans="1:18" ht="15.75">
      <c r="A61" s="19"/>
      <c r="B61" s="20">
        <f>DATE(2015,11,1)</f>
        <v>42309</v>
      </c>
      <c r="C61" s="21">
        <v>174216</v>
      </c>
      <c r="D61" s="21">
        <v>201690</v>
      </c>
      <c r="E61" s="23">
        <f>(+C61-D61)/D61</f>
        <v>-0.13621894987356833</v>
      </c>
      <c r="F61" s="21">
        <f>+C61-82386</f>
        <v>91830</v>
      </c>
      <c r="G61" s="21">
        <f>+D61-98548</f>
        <v>103142</v>
      </c>
      <c r="H61" s="23">
        <f>(+F61-G61)/G61</f>
        <v>-0.10967404161253418</v>
      </c>
      <c r="I61" s="24">
        <f>K61/C61</f>
        <v>34.79429782568765</v>
      </c>
      <c r="J61" s="24">
        <f>K61/F61</f>
        <v>66.01027322225852</v>
      </c>
      <c r="K61" s="21">
        <v>6061723.39</v>
      </c>
      <c r="L61" s="21">
        <v>6144614.02</v>
      </c>
      <c r="M61" s="25">
        <f>(+K61-L61)/L61</f>
        <v>-0.013489965314371348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customHeight="1" thickBot="1" thickTop="1">
      <c r="A63" s="39" t="s">
        <v>14</v>
      </c>
      <c r="B63" s="52"/>
      <c r="C63" s="47">
        <f>SUM(C57:C62)</f>
        <v>994603</v>
      </c>
      <c r="D63" s="48">
        <f>SUM(D57:D62)</f>
        <v>1084144</v>
      </c>
      <c r="E63" s="281">
        <f>(+C63-D63)/D63</f>
        <v>-0.08259142696911112</v>
      </c>
      <c r="F63" s="48">
        <f>SUM(F57:F62)</f>
        <v>501748</v>
      </c>
      <c r="G63" s="47">
        <f>SUM(G57:G62)</f>
        <v>546811</v>
      </c>
      <c r="H63" s="53">
        <f>(+F63-G63)/G63</f>
        <v>-0.08241055867566673</v>
      </c>
      <c r="I63" s="51">
        <f>K63/C63</f>
        <v>31.579633964506442</v>
      </c>
      <c r="J63" s="50">
        <f>K63/F63</f>
        <v>62.59954933552301</v>
      </c>
      <c r="K63" s="47">
        <f>SUM(K57:K62)</f>
        <v>31409198.68</v>
      </c>
      <c r="L63" s="48">
        <f>SUM(L57:L62)</f>
        <v>31181575.720000003</v>
      </c>
      <c r="M63" s="44">
        <f>(+K63-L63)/L63</f>
        <v>0.007299918453255035</v>
      </c>
      <c r="N63" s="10"/>
      <c r="R63" s="2"/>
    </row>
    <row r="64" spans="1:18" ht="15.75" customHeight="1" thickTop="1">
      <c r="A64" s="19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>
      <c r="A65" s="19" t="s">
        <v>68</v>
      </c>
      <c r="B65" s="20">
        <f>DATE(2015,7,1)</f>
        <v>42186</v>
      </c>
      <c r="C65" s="21">
        <v>315217</v>
      </c>
      <c r="D65" s="21">
        <v>381777</v>
      </c>
      <c r="E65" s="23">
        <f>(+C65-D65)/D65</f>
        <v>-0.17434261361999281</v>
      </c>
      <c r="F65" s="21">
        <f>+C65-154386</f>
        <v>160831</v>
      </c>
      <c r="G65" s="21">
        <f>+D65-188816</f>
        <v>192961</v>
      </c>
      <c r="H65" s="23">
        <f>(+F65-G65)/G65</f>
        <v>-0.16651033110317628</v>
      </c>
      <c r="I65" s="24">
        <f>K65/C65</f>
        <v>35.09699375350949</v>
      </c>
      <c r="J65" s="24">
        <f>K65/F65</f>
        <v>68.78754145655999</v>
      </c>
      <c r="K65" s="21">
        <v>11063169.08</v>
      </c>
      <c r="L65" s="21">
        <v>11801216.19</v>
      </c>
      <c r="M65" s="25">
        <f>(+K65-L65)/L65</f>
        <v>-0.06253991945553872</v>
      </c>
      <c r="N65" s="10"/>
      <c r="R65" s="2"/>
    </row>
    <row r="66" spans="1:18" ht="15.75" customHeight="1">
      <c r="A66" s="19"/>
      <c r="B66" s="20">
        <f>DATE(2015,8,1)</f>
        <v>42217</v>
      </c>
      <c r="C66" s="21">
        <v>310472</v>
      </c>
      <c r="D66" s="21">
        <v>398587</v>
      </c>
      <c r="E66" s="23">
        <f>(+C66-D66)/D66</f>
        <v>-0.22106842420851658</v>
      </c>
      <c r="F66" s="21">
        <f>+C66-153162</f>
        <v>157310</v>
      </c>
      <c r="G66" s="21">
        <f>+D66-196528</f>
        <v>202059</v>
      </c>
      <c r="H66" s="23">
        <f>(+F66-G66)/G66</f>
        <v>-0.2214650176433616</v>
      </c>
      <c r="I66" s="24">
        <f>K66/C66</f>
        <v>34.08608557293412</v>
      </c>
      <c r="J66" s="24">
        <f>K66/F66</f>
        <v>67.27337842476639</v>
      </c>
      <c r="K66" s="21">
        <v>10582775.16</v>
      </c>
      <c r="L66" s="21">
        <v>12867985.81</v>
      </c>
      <c r="M66" s="25">
        <f>(+K66-L66)/L66</f>
        <v>-0.17758883820217705</v>
      </c>
      <c r="N66" s="10"/>
      <c r="R66" s="2"/>
    </row>
    <row r="67" spans="1:18" ht="15.75" customHeight="1">
      <c r="A67" s="19"/>
      <c r="B67" s="20">
        <f>DATE(2015,9,1)</f>
        <v>42248</v>
      </c>
      <c r="C67" s="21">
        <v>341523</v>
      </c>
      <c r="D67" s="21">
        <v>349419</v>
      </c>
      <c r="E67" s="23">
        <f>(+C67-D67)/D67</f>
        <v>-0.02259751186970371</v>
      </c>
      <c r="F67" s="21">
        <f>+C67-167601</f>
        <v>173922</v>
      </c>
      <c r="G67" s="21">
        <f>+D67-171468</f>
        <v>177951</v>
      </c>
      <c r="H67" s="23">
        <f>(+F67-G67)/G67</f>
        <v>-0.022641064113154745</v>
      </c>
      <c r="I67" s="24">
        <f>K67/C67</f>
        <v>34.35739030753419</v>
      </c>
      <c r="J67" s="24">
        <f>K67/F67</f>
        <v>67.46609980336012</v>
      </c>
      <c r="K67" s="21">
        <v>11733839.01</v>
      </c>
      <c r="L67" s="21">
        <v>11404539.52</v>
      </c>
      <c r="M67" s="25">
        <f>(+K67-L67)/L67</f>
        <v>0.02887442227917329</v>
      </c>
      <c r="N67" s="10"/>
      <c r="R67" s="2"/>
    </row>
    <row r="68" spans="1:18" ht="15.75" customHeight="1">
      <c r="A68" s="19"/>
      <c r="B68" s="20">
        <f>DATE(2015,10,1)</f>
        <v>42278</v>
      </c>
      <c r="C68" s="21">
        <v>323356</v>
      </c>
      <c r="D68" s="21">
        <v>346830</v>
      </c>
      <c r="E68" s="23">
        <f>(+C68-D68)/D68</f>
        <v>-0.06768157310497938</v>
      </c>
      <c r="F68" s="21">
        <f>+C68-160209</f>
        <v>163147</v>
      </c>
      <c r="G68" s="21">
        <f>+D68-170451</f>
        <v>176379</v>
      </c>
      <c r="H68" s="23">
        <f>(+F68-G68)/G68</f>
        <v>-0.07502026885286797</v>
      </c>
      <c r="I68" s="24">
        <f>K68/C68</f>
        <v>37.25070829055282</v>
      </c>
      <c r="J68" s="24">
        <f>K68/F68</f>
        <v>73.83059467841885</v>
      </c>
      <c r="K68" s="21">
        <v>12045240.03</v>
      </c>
      <c r="L68" s="21">
        <v>11662606.12</v>
      </c>
      <c r="M68" s="25">
        <f>(+K68-L68)/L68</f>
        <v>0.03280861121973655</v>
      </c>
      <c r="N68" s="10"/>
      <c r="R68" s="2"/>
    </row>
    <row r="69" spans="1:18" ht="15.75" customHeight="1">
      <c r="A69" s="19"/>
      <c r="B69" s="20">
        <f>DATE(2015,11,1)</f>
        <v>42309</v>
      </c>
      <c r="C69" s="21">
        <v>300525</v>
      </c>
      <c r="D69" s="21">
        <v>318650</v>
      </c>
      <c r="E69" s="23">
        <f>(+C69-D69)/D69</f>
        <v>-0.05688058998901616</v>
      </c>
      <c r="F69" s="21">
        <f>+C69-151311</f>
        <v>149214</v>
      </c>
      <c r="G69" s="21">
        <f>+D69-161543</f>
        <v>157107</v>
      </c>
      <c r="H69" s="23">
        <f>(+F69-G69)/G69</f>
        <v>-0.05023964559185778</v>
      </c>
      <c r="I69" s="24">
        <f>K69/C69</f>
        <v>36.229006704933035</v>
      </c>
      <c r="J69" s="24">
        <f>K69/F69</f>
        <v>72.96716286675513</v>
      </c>
      <c r="K69" s="21">
        <v>10887722.24</v>
      </c>
      <c r="L69" s="21">
        <v>10688899.67</v>
      </c>
      <c r="M69" s="25">
        <f>(+K69-L69)/L69</f>
        <v>0.018600845375883326</v>
      </c>
      <c r="N69" s="10"/>
      <c r="R69" s="2"/>
    </row>
    <row r="70" spans="1:18" ht="15.75" customHeight="1" thickBot="1">
      <c r="A70" s="19"/>
      <c r="B70" s="45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Bot="1" thickTop="1">
      <c r="A71" s="39" t="s">
        <v>14</v>
      </c>
      <c r="B71" s="40"/>
      <c r="C71" s="41">
        <f>SUM(C65:C70)</f>
        <v>1591093</v>
      </c>
      <c r="D71" s="41">
        <f>SUM(D65:D70)</f>
        <v>1795263</v>
      </c>
      <c r="E71" s="280">
        <f>(+C71-D71)/D71</f>
        <v>-0.11372706951571998</v>
      </c>
      <c r="F71" s="41">
        <f>SUM(F65:F70)</f>
        <v>804424</v>
      </c>
      <c r="G71" s="41">
        <f>SUM(G65:G70)</f>
        <v>906457</v>
      </c>
      <c r="H71" s="42">
        <f>(+F71-G71)/G71</f>
        <v>-0.11256242712009505</v>
      </c>
      <c r="I71" s="43">
        <f>K71/C71</f>
        <v>35.39249152626528</v>
      </c>
      <c r="J71" s="43">
        <f>K71/F71</f>
        <v>70.0038108261315</v>
      </c>
      <c r="K71" s="41">
        <f>SUM(K65:K70)</f>
        <v>56312745.52</v>
      </c>
      <c r="L71" s="41">
        <f>SUM(L65:L70)</f>
        <v>58425247.309999995</v>
      </c>
      <c r="M71" s="44">
        <f>(+K71-L71)/L71</f>
        <v>-0.0361573444232288</v>
      </c>
      <c r="N71" s="10"/>
      <c r="R71" s="2"/>
    </row>
    <row r="72" spans="1:18" ht="15.75" customHeight="1" thickTop="1">
      <c r="A72" s="54"/>
      <c r="B72" s="55"/>
      <c r="C72" s="55"/>
      <c r="D72" s="55"/>
      <c r="E72" s="56"/>
      <c r="F72" s="55"/>
      <c r="G72" s="55"/>
      <c r="H72" s="56"/>
      <c r="I72" s="55"/>
      <c r="J72" s="55"/>
      <c r="K72" s="196"/>
      <c r="L72" s="196"/>
      <c r="M72" s="57"/>
      <c r="N72" s="10"/>
      <c r="R72" s="2"/>
    </row>
    <row r="73" spans="1:18" ht="15.75" customHeight="1">
      <c r="A73" s="19" t="s">
        <v>18</v>
      </c>
      <c r="B73" s="20">
        <f>DATE(2015,7,1)</f>
        <v>42186</v>
      </c>
      <c r="C73" s="21">
        <v>447050</v>
      </c>
      <c r="D73" s="21">
        <v>513388</v>
      </c>
      <c r="E73" s="23">
        <f>(+C73-D73)/D73</f>
        <v>-0.129216109453279</v>
      </c>
      <c r="F73" s="21">
        <f>+C73-221591</f>
        <v>225459</v>
      </c>
      <c r="G73" s="21">
        <f>+D73-254695</f>
        <v>258693</v>
      </c>
      <c r="H73" s="23">
        <f>(+F73-G73)/G73</f>
        <v>-0.12846888010112373</v>
      </c>
      <c r="I73" s="24">
        <f>K73/C73</f>
        <v>38.16590562576893</v>
      </c>
      <c r="J73" s="24">
        <f>K73/F73</f>
        <v>75.67703267556406</v>
      </c>
      <c r="K73" s="21">
        <v>17062068.11</v>
      </c>
      <c r="L73" s="21">
        <v>17287226.16</v>
      </c>
      <c r="M73" s="25">
        <f>(+K73-L73)/L73</f>
        <v>-0.01302453313886655</v>
      </c>
      <c r="N73" s="10"/>
      <c r="R73" s="2"/>
    </row>
    <row r="74" spans="1:18" ht="15.75" customHeight="1">
      <c r="A74" s="19"/>
      <c r="B74" s="20">
        <f>DATE(2015,8,1)</f>
        <v>42217</v>
      </c>
      <c r="C74" s="21">
        <v>477502</v>
      </c>
      <c r="D74" s="21">
        <v>503846</v>
      </c>
      <c r="E74" s="23">
        <f>(+C74-D74)/D74</f>
        <v>-0.05228581749185267</v>
      </c>
      <c r="F74" s="21">
        <f>+C74-237521</f>
        <v>239981</v>
      </c>
      <c r="G74" s="21">
        <f>+D74-249972</f>
        <v>253874</v>
      </c>
      <c r="H74" s="23">
        <f>(+F74-G74)/G74</f>
        <v>-0.054723996943365605</v>
      </c>
      <c r="I74" s="24">
        <f>K74/C74</f>
        <v>36.02355405841232</v>
      </c>
      <c r="J74" s="24">
        <f>K74/F74</f>
        <v>71.67783745379842</v>
      </c>
      <c r="K74" s="21">
        <v>17201319.11</v>
      </c>
      <c r="L74" s="21">
        <v>17523268.22</v>
      </c>
      <c r="M74" s="25">
        <f>(+K74-L74)/L74</f>
        <v>-0.018372663475672086</v>
      </c>
      <c r="N74" s="10"/>
      <c r="R74" s="2"/>
    </row>
    <row r="75" spans="1:18" ht="15.75" customHeight="1">
      <c r="A75" s="19"/>
      <c r="B75" s="20">
        <f>DATE(2015,9,1)</f>
        <v>42248</v>
      </c>
      <c r="C75" s="21">
        <v>424095</v>
      </c>
      <c r="D75" s="21">
        <v>423883</v>
      </c>
      <c r="E75" s="23">
        <f>(+C75-D75)/D75</f>
        <v>0.0005001380097810009</v>
      </c>
      <c r="F75" s="21">
        <f>+C75-207441</f>
        <v>216654</v>
      </c>
      <c r="G75" s="21">
        <f>+D75-210874</f>
        <v>213009</v>
      </c>
      <c r="H75" s="23">
        <f>(+F75-G75)/G75</f>
        <v>0.017111953016069742</v>
      </c>
      <c r="I75" s="24">
        <f>K75/C75</f>
        <v>37.89309062827904</v>
      </c>
      <c r="J75" s="24">
        <f>K75/F75</f>
        <v>74.17481454300405</v>
      </c>
      <c r="K75" s="21">
        <v>16070270.27</v>
      </c>
      <c r="L75" s="21">
        <v>14701569.39</v>
      </c>
      <c r="M75" s="25">
        <f>(+K75-L75)/L75</f>
        <v>0.09309896404196062</v>
      </c>
      <c r="N75" s="10"/>
      <c r="R75" s="2"/>
    </row>
    <row r="76" spans="1:18" ht="15.75" customHeight="1">
      <c r="A76" s="19"/>
      <c r="B76" s="20">
        <f>DATE(2015,10,1)</f>
        <v>42278</v>
      </c>
      <c r="C76" s="21">
        <v>431910</v>
      </c>
      <c r="D76" s="21">
        <v>423551</v>
      </c>
      <c r="E76" s="23">
        <f>(+C76-D76)/D76</f>
        <v>0.019735521814374185</v>
      </c>
      <c r="F76" s="21">
        <f>+C76-215543</f>
        <v>216367</v>
      </c>
      <c r="G76" s="21">
        <f>+D76-214777</f>
        <v>208774</v>
      </c>
      <c r="H76" s="23">
        <f>(+F76-G76)/G76</f>
        <v>0.03636947129431826</v>
      </c>
      <c r="I76" s="24">
        <f>K76/C76</f>
        <v>36.9180300062513</v>
      </c>
      <c r="J76" s="24">
        <f>K76/F76</f>
        <v>73.69546344867747</v>
      </c>
      <c r="K76" s="21">
        <v>15945266.34</v>
      </c>
      <c r="L76" s="21">
        <v>15825241.34</v>
      </c>
      <c r="M76" s="25">
        <f>(+K76-L76)/L76</f>
        <v>0.007584402501124826</v>
      </c>
      <c r="N76" s="10"/>
      <c r="R76" s="2"/>
    </row>
    <row r="77" spans="1:18" ht="15.75" customHeight="1">
      <c r="A77" s="19"/>
      <c r="B77" s="20">
        <f>DATE(2015,11,1)</f>
        <v>42309</v>
      </c>
      <c r="C77" s="21">
        <v>399222</v>
      </c>
      <c r="D77" s="21">
        <v>431949</v>
      </c>
      <c r="E77" s="23">
        <f>(+C77-D77)/D77</f>
        <v>-0.07576588902856587</v>
      </c>
      <c r="F77" s="21">
        <f>+C77-198189</f>
        <v>201033</v>
      </c>
      <c r="G77" s="21">
        <f>+D77-216466</f>
        <v>215483</v>
      </c>
      <c r="H77" s="23">
        <f>(+F77-G77)/G77</f>
        <v>-0.06705865427899185</v>
      </c>
      <c r="I77" s="24">
        <f>K77/C77</f>
        <v>38.73731337451343</v>
      </c>
      <c r="J77" s="24">
        <f>K77/F77</f>
        <v>76.92661264568504</v>
      </c>
      <c r="K77" s="21">
        <v>15464787.72</v>
      </c>
      <c r="L77" s="21">
        <v>14670113.2</v>
      </c>
      <c r="M77" s="25">
        <f>(+K77-L77)/L77</f>
        <v>0.054169624267112096</v>
      </c>
      <c r="N77" s="10"/>
      <c r="R77" s="2"/>
    </row>
    <row r="78" spans="1:18" ht="15.75" customHeight="1" thickBot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SUM(C73:C78)</f>
        <v>2179779</v>
      </c>
      <c r="D79" s="41">
        <f>SUM(D73:D78)</f>
        <v>2296617</v>
      </c>
      <c r="E79" s="280">
        <f>(+C79-D79)/D79</f>
        <v>-0.05087395939331634</v>
      </c>
      <c r="F79" s="41">
        <f>SUM(F73:F78)</f>
        <v>1099494</v>
      </c>
      <c r="G79" s="41">
        <f>SUM(G73:G78)</f>
        <v>1149833</v>
      </c>
      <c r="H79" s="42">
        <f>(+F79-G79)/G79</f>
        <v>-0.043779401008668214</v>
      </c>
      <c r="I79" s="43">
        <f>K79/C79</f>
        <v>37.50091708838373</v>
      </c>
      <c r="J79" s="43">
        <f>K79/F79</f>
        <v>74.34666451112966</v>
      </c>
      <c r="K79" s="41">
        <f>SUM(K73:K78)</f>
        <v>81743711.55</v>
      </c>
      <c r="L79" s="41">
        <f>SUM(L73:L78)</f>
        <v>80007418.31</v>
      </c>
      <c r="M79" s="44">
        <f>(+K79-L79)/L79</f>
        <v>0.021701653130119535</v>
      </c>
      <c r="N79" s="10"/>
      <c r="R79" s="2"/>
    </row>
    <row r="80" spans="1:18" ht="15.75" customHeight="1" thickTop="1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>
      <c r="A81" s="19" t="s">
        <v>58</v>
      </c>
      <c r="B81" s="20">
        <f>DATE(2015,7,1)</f>
        <v>42186</v>
      </c>
      <c r="C81" s="21">
        <v>514553</v>
      </c>
      <c r="D81" s="21">
        <v>498239</v>
      </c>
      <c r="E81" s="23">
        <f>(+C81-D81)/D81</f>
        <v>0.03274332198001361</v>
      </c>
      <c r="F81" s="21">
        <f>+C81-259358</f>
        <v>255195</v>
      </c>
      <c r="G81" s="21">
        <f>+D81-242414</f>
        <v>255825</v>
      </c>
      <c r="H81" s="23">
        <f>(+F81-G81)/G81</f>
        <v>-0.0024626209322779246</v>
      </c>
      <c r="I81" s="24">
        <f>K81/C81</f>
        <v>35.29978771866067</v>
      </c>
      <c r="J81" s="24">
        <f>K81/F81</f>
        <v>71.17542142283352</v>
      </c>
      <c r="K81" s="21">
        <v>18163611.67</v>
      </c>
      <c r="L81" s="21">
        <v>17739276.55</v>
      </c>
      <c r="M81" s="25">
        <f>(+K81-L81)/L81</f>
        <v>0.02392065532120029</v>
      </c>
      <c r="N81" s="10"/>
      <c r="R81" s="2"/>
    </row>
    <row r="82" spans="1:18" ht="15.75" customHeight="1">
      <c r="A82" s="19"/>
      <c r="B82" s="20">
        <f>DATE(2015,8,1)</f>
        <v>42217</v>
      </c>
      <c r="C82" s="21">
        <v>515094</v>
      </c>
      <c r="D82" s="21">
        <v>548272</v>
      </c>
      <c r="E82" s="23">
        <f>(+C82-D82)/D82</f>
        <v>-0.06051375959377827</v>
      </c>
      <c r="F82" s="21">
        <f>+C82-257865</f>
        <v>257229</v>
      </c>
      <c r="G82" s="21">
        <f>+D82-270985</f>
        <v>277287</v>
      </c>
      <c r="H82" s="23">
        <f>(+F82-G82)/G82</f>
        <v>-0.07233660431249932</v>
      </c>
      <c r="I82" s="24">
        <f>K82/C82</f>
        <v>36.984126761329</v>
      </c>
      <c r="J82" s="24">
        <f>K82/F82</f>
        <v>74.05969696262862</v>
      </c>
      <c r="K82" s="21">
        <v>19050301.79</v>
      </c>
      <c r="L82" s="21">
        <v>18933634.27</v>
      </c>
      <c r="M82" s="25">
        <f>(+K82-L82)/L82</f>
        <v>0.006161918960527146</v>
      </c>
      <c r="N82" s="10"/>
      <c r="R82" s="2"/>
    </row>
    <row r="83" spans="1:18" ht="15.75" customHeight="1">
      <c r="A83" s="19"/>
      <c r="B83" s="20">
        <f>DATE(2015,9,1)</f>
        <v>42248</v>
      </c>
      <c r="C83" s="21">
        <v>478366</v>
      </c>
      <c r="D83" s="21">
        <v>462127</v>
      </c>
      <c r="E83" s="23">
        <f>(+C83-D83)/D83</f>
        <v>0.03513969103731225</v>
      </c>
      <c r="F83" s="21">
        <f>+C83-245197</f>
        <v>233169</v>
      </c>
      <c r="G83" s="21">
        <f>+D83-224687</f>
        <v>237440</v>
      </c>
      <c r="H83" s="23">
        <f>(+F83-G83)/G83</f>
        <v>-0.01798770215633423</v>
      </c>
      <c r="I83" s="24">
        <f>K83/C83</f>
        <v>35.96913904834374</v>
      </c>
      <c r="J83" s="24">
        <f>K83/F83</f>
        <v>73.79374260729342</v>
      </c>
      <c r="K83" s="21">
        <v>17206413.17</v>
      </c>
      <c r="L83" s="21">
        <v>16685034.36</v>
      </c>
      <c r="M83" s="25">
        <f>(+K83-L83)/L83</f>
        <v>0.031248291058359103</v>
      </c>
      <c r="N83" s="10"/>
      <c r="R83" s="2"/>
    </row>
    <row r="84" spans="1:18" ht="15.75" customHeight="1">
      <c r="A84" s="19"/>
      <c r="B84" s="20">
        <f>DATE(2015,10,1)</f>
        <v>42278</v>
      </c>
      <c r="C84" s="21">
        <v>529973</v>
      </c>
      <c r="D84" s="21">
        <v>489378</v>
      </c>
      <c r="E84" s="23">
        <f>(+C84-D84)/D84</f>
        <v>0.08295223732983502</v>
      </c>
      <c r="F84" s="21">
        <f>+C84-268147</f>
        <v>261826</v>
      </c>
      <c r="G84" s="21">
        <f>+D84-239568</f>
        <v>249810</v>
      </c>
      <c r="H84" s="23">
        <f>(+F84-G84)/G84</f>
        <v>0.04810055642288139</v>
      </c>
      <c r="I84" s="24">
        <f>K84/C84</f>
        <v>36.99654640896801</v>
      </c>
      <c r="J84" s="24">
        <f>K84/F84</f>
        <v>74.88626297617502</v>
      </c>
      <c r="K84" s="21">
        <v>19607170.69</v>
      </c>
      <c r="L84" s="21">
        <v>17092830.32</v>
      </c>
      <c r="M84" s="25">
        <f>(+K84-L84)/L84</f>
        <v>0.14709912418998383</v>
      </c>
      <c r="N84" s="10"/>
      <c r="R84" s="2"/>
    </row>
    <row r="85" spans="1:18" ht="15.75" customHeight="1">
      <c r="A85" s="19"/>
      <c r="B85" s="20">
        <f>DATE(2015,11,1)</f>
        <v>42309</v>
      </c>
      <c r="C85" s="21">
        <v>481651</v>
      </c>
      <c r="D85" s="21">
        <v>484208</v>
      </c>
      <c r="E85" s="23">
        <f>(+C85-D85)/D85</f>
        <v>-0.005280788421504807</v>
      </c>
      <c r="F85" s="21">
        <f>+C85-239709</f>
        <v>241942</v>
      </c>
      <c r="G85" s="21">
        <f>+D85-233243</f>
        <v>250965</v>
      </c>
      <c r="H85" s="23">
        <f>(+F85-G85)/G85</f>
        <v>-0.035953220568605185</v>
      </c>
      <c r="I85" s="24">
        <f>K85/C85</f>
        <v>38.01303283913041</v>
      </c>
      <c r="J85" s="24">
        <f>K85/F85</f>
        <v>75.67522497127412</v>
      </c>
      <c r="K85" s="21">
        <v>18309015.28</v>
      </c>
      <c r="L85" s="21">
        <v>17323021.99</v>
      </c>
      <c r="M85" s="25">
        <f>(+K85-L85)/L85</f>
        <v>0.056918087996954796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SUM(C81:C86)</f>
        <v>2519637</v>
      </c>
      <c r="D87" s="41">
        <f>SUM(D81:D86)</f>
        <v>2482224</v>
      </c>
      <c r="E87" s="280">
        <f>(+C87-D87)/D87</f>
        <v>0.015072370583799045</v>
      </c>
      <c r="F87" s="41">
        <f>SUM(F81:F86)</f>
        <v>1249361</v>
      </c>
      <c r="G87" s="41">
        <f>SUM(G81:G86)</f>
        <v>1271327</v>
      </c>
      <c r="H87" s="42">
        <f>(+F87-G87)/G87</f>
        <v>-0.017278009512894793</v>
      </c>
      <c r="I87" s="43">
        <f>K87/C87</f>
        <v>36.64675213135861</v>
      </c>
      <c r="J87" s="43">
        <f>K87/F87</f>
        <v>73.90699133396993</v>
      </c>
      <c r="K87" s="41">
        <f>SUM(K81:K86)</f>
        <v>92336512.60000001</v>
      </c>
      <c r="L87" s="41">
        <f>SUM(L81:L86)</f>
        <v>87773797.49</v>
      </c>
      <c r="M87" s="44">
        <f>(+K87-L87)/L87</f>
        <v>0.05198265587768196</v>
      </c>
      <c r="N87" s="10"/>
      <c r="R87" s="2"/>
    </row>
    <row r="88" spans="1:18" ht="15.75" customHeight="1" thickTop="1">
      <c r="A88" s="58"/>
      <c r="B88" s="59"/>
      <c r="C88" s="59"/>
      <c r="D88" s="59"/>
      <c r="E88" s="60"/>
      <c r="F88" s="59"/>
      <c r="G88" s="59"/>
      <c r="H88" s="60"/>
      <c r="I88" s="59"/>
      <c r="J88" s="59"/>
      <c r="K88" s="197"/>
      <c r="L88" s="197"/>
      <c r="M88" s="61"/>
      <c r="N88" s="10"/>
      <c r="R88" s="2"/>
    </row>
    <row r="89" spans="1:18" ht="15" customHeight="1">
      <c r="A89" s="19" t="s">
        <v>59</v>
      </c>
      <c r="B89" s="20">
        <f>DATE(2015,7,1)</f>
        <v>42186</v>
      </c>
      <c r="C89" s="21">
        <v>86369</v>
      </c>
      <c r="D89" s="21">
        <v>84999</v>
      </c>
      <c r="E89" s="23">
        <f>(+C89-D89)/D89</f>
        <v>0.016117836680431534</v>
      </c>
      <c r="F89" s="21">
        <f>+C89-43531</f>
        <v>42838</v>
      </c>
      <c r="G89" s="21">
        <f>+D89-43157</f>
        <v>41842</v>
      </c>
      <c r="H89" s="23">
        <f>(+F89-G89)/G89</f>
        <v>0.023803833468763445</v>
      </c>
      <c r="I89" s="24">
        <f>K89/C89</f>
        <v>36.13481121698757</v>
      </c>
      <c r="J89" s="24">
        <f>K89/F89</f>
        <v>72.85418343526774</v>
      </c>
      <c r="K89" s="21">
        <v>3120927.51</v>
      </c>
      <c r="L89" s="21">
        <v>3033838.74</v>
      </c>
      <c r="M89" s="25">
        <f>(+K89-L89)/L89</f>
        <v>0.028705800625381805</v>
      </c>
      <c r="N89" s="10"/>
      <c r="R89" s="2"/>
    </row>
    <row r="90" spans="1:18" ht="15" customHeight="1">
      <c r="A90" s="19"/>
      <c r="B90" s="20">
        <f>DATE(2015,8,1)</f>
        <v>42217</v>
      </c>
      <c r="C90" s="21">
        <v>84564</v>
      </c>
      <c r="D90" s="21">
        <v>89307</v>
      </c>
      <c r="E90" s="23">
        <f>(+C90-D90)/D90</f>
        <v>-0.05310893882898317</v>
      </c>
      <c r="F90" s="21">
        <f>+C90-42390</f>
        <v>42174</v>
      </c>
      <c r="G90" s="21">
        <f>+D90-44522</f>
        <v>44785</v>
      </c>
      <c r="H90" s="23">
        <f>(+F90-G90)/G90</f>
        <v>-0.05830077034721447</v>
      </c>
      <c r="I90" s="24">
        <f>K90/C90</f>
        <v>35.948111607776355</v>
      </c>
      <c r="J90" s="24">
        <f>K90/F90</f>
        <v>72.08033646322379</v>
      </c>
      <c r="K90" s="21">
        <v>3039916.11</v>
      </c>
      <c r="L90" s="21">
        <v>3250397.13</v>
      </c>
      <c r="M90" s="25">
        <f>(+K90-L90)/L90</f>
        <v>-0.06475547804830853</v>
      </c>
      <c r="N90" s="10"/>
      <c r="R90" s="2"/>
    </row>
    <row r="91" spans="1:18" ht="15" customHeight="1">
      <c r="A91" s="19"/>
      <c r="B91" s="20">
        <f>DATE(2015,9,1)</f>
        <v>42248</v>
      </c>
      <c r="C91" s="21">
        <v>79303</v>
      </c>
      <c r="D91" s="21">
        <v>78430</v>
      </c>
      <c r="E91" s="23">
        <f>(+C91-D91)/D91</f>
        <v>0.011130944791533853</v>
      </c>
      <c r="F91" s="21">
        <f>+C91-39341</f>
        <v>39962</v>
      </c>
      <c r="G91" s="21">
        <f>+D91-39135</f>
        <v>39295</v>
      </c>
      <c r="H91" s="23">
        <f>(+F91-G91)/G91</f>
        <v>0.016974169741697416</v>
      </c>
      <c r="I91" s="24">
        <f>K91/C91</f>
        <v>37.316061183057386</v>
      </c>
      <c r="J91" s="24">
        <f>K91/F91</f>
        <v>74.05223962764627</v>
      </c>
      <c r="K91" s="21">
        <v>2959275.6</v>
      </c>
      <c r="L91" s="21">
        <v>2730913.84</v>
      </c>
      <c r="M91" s="25">
        <f>(+K91-L91)/L91</f>
        <v>0.08362100504789279</v>
      </c>
      <c r="N91" s="10"/>
      <c r="R91" s="2"/>
    </row>
    <row r="92" spans="1:18" ht="15" customHeight="1">
      <c r="A92" s="19"/>
      <c r="B92" s="20">
        <f>DATE(2015,10,1)</f>
        <v>42278</v>
      </c>
      <c r="C92" s="21">
        <v>82043</v>
      </c>
      <c r="D92" s="21">
        <v>82199</v>
      </c>
      <c r="E92" s="23">
        <f>(+C92-D92)/D92</f>
        <v>-0.0018978333069745374</v>
      </c>
      <c r="F92" s="21">
        <f>+C92-41359</f>
        <v>40684</v>
      </c>
      <c r="G92" s="21">
        <f>+D92-41678</f>
        <v>40521</v>
      </c>
      <c r="H92" s="23">
        <f>(+F92-G92)/G92</f>
        <v>0.004022605562547815</v>
      </c>
      <c r="I92" s="24">
        <f>K92/C92</f>
        <v>37.6119707958022</v>
      </c>
      <c r="J92" s="24">
        <f>K92/F92</f>
        <v>75.84797266738767</v>
      </c>
      <c r="K92" s="21">
        <v>3085798.92</v>
      </c>
      <c r="L92" s="21">
        <v>2982837.1</v>
      </c>
      <c r="M92" s="25">
        <f>(+K92-L92)/L92</f>
        <v>0.03451808347160488</v>
      </c>
      <c r="N92" s="10"/>
      <c r="R92" s="2"/>
    </row>
    <row r="93" spans="1:18" ht="15" customHeight="1">
      <c r="A93" s="19"/>
      <c r="B93" s="20">
        <f>DATE(2015,11,1)</f>
        <v>42309</v>
      </c>
      <c r="C93" s="21">
        <v>72836</v>
      </c>
      <c r="D93" s="21">
        <v>78781</v>
      </c>
      <c r="E93" s="23">
        <f>(+C93-D93)/D93</f>
        <v>-0.07546235767507393</v>
      </c>
      <c r="F93" s="21">
        <f>+C93-37465</f>
        <v>35371</v>
      </c>
      <c r="G93" s="21">
        <f>+D93-39817</f>
        <v>38964</v>
      </c>
      <c r="H93" s="23">
        <f>(+F93-G93)/G93</f>
        <v>-0.09221332512062416</v>
      </c>
      <c r="I93" s="24">
        <f>K93/C93</f>
        <v>40.364291833708606</v>
      </c>
      <c r="J93" s="24">
        <f>K93/F93</f>
        <v>83.11819173899522</v>
      </c>
      <c r="K93" s="21">
        <v>2939973.56</v>
      </c>
      <c r="L93" s="21">
        <v>2805137.91</v>
      </c>
      <c r="M93" s="25">
        <f>(+K93-L93)/L93</f>
        <v>0.04806738717527079</v>
      </c>
      <c r="N93" s="10"/>
      <c r="R93" s="2"/>
    </row>
    <row r="94" spans="1:18" ht="15.75" thickBot="1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Bot="1" thickTop="1">
      <c r="A95" s="62" t="s">
        <v>14</v>
      </c>
      <c r="B95" s="52"/>
      <c r="C95" s="48">
        <f>SUM(C89:C94)</f>
        <v>405115</v>
      </c>
      <c r="D95" s="48">
        <f>SUM(D89:D94)</f>
        <v>413716</v>
      </c>
      <c r="E95" s="280">
        <f>(+C95-D95)/D95</f>
        <v>-0.02078962379990138</v>
      </c>
      <c r="F95" s="48">
        <f>SUM(F89:F94)</f>
        <v>201029</v>
      </c>
      <c r="G95" s="48">
        <f>SUM(G89:G94)</f>
        <v>205407</v>
      </c>
      <c r="H95" s="42">
        <f>(+F95-G95)/G95</f>
        <v>-0.02131378190616678</v>
      </c>
      <c r="I95" s="50">
        <f>K95/C95</f>
        <v>37.38664749515569</v>
      </c>
      <c r="J95" s="50">
        <f>K95/F95</f>
        <v>75.34182481134562</v>
      </c>
      <c r="K95" s="48">
        <f>SUM(K89:K94)</f>
        <v>15145891.7</v>
      </c>
      <c r="L95" s="48">
        <f>SUM(L89:L94)</f>
        <v>14803124.72</v>
      </c>
      <c r="M95" s="44">
        <f>(+K95-L95)/L95</f>
        <v>0.023155042363244952</v>
      </c>
      <c r="N95" s="10"/>
      <c r="R95" s="2"/>
    </row>
    <row r="96" spans="1:18" ht="15.75" customHeight="1" thickTop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>
      <c r="A97" s="19" t="s">
        <v>19</v>
      </c>
      <c r="B97" s="20">
        <f>DATE(2015,7,1)</f>
        <v>42186</v>
      </c>
      <c r="C97" s="21">
        <v>532259</v>
      </c>
      <c r="D97" s="21">
        <v>567277</v>
      </c>
      <c r="E97" s="23">
        <f>(+C97-D97)/D97</f>
        <v>-0.06172998376454536</v>
      </c>
      <c r="F97" s="21">
        <f>+C97-268912</f>
        <v>263347</v>
      </c>
      <c r="G97" s="21">
        <f>+D97-297396</f>
        <v>269881</v>
      </c>
      <c r="H97" s="23">
        <f>(+F97-G97)/G97</f>
        <v>-0.024210670628906816</v>
      </c>
      <c r="I97" s="24">
        <f>K97/C97</f>
        <v>42.84615583766549</v>
      </c>
      <c r="J97" s="24">
        <f>K97/F97</f>
        <v>86.59772870015607</v>
      </c>
      <c r="K97" s="21">
        <v>22805252.06</v>
      </c>
      <c r="L97" s="21">
        <v>22612560.24</v>
      </c>
      <c r="M97" s="25">
        <f>(+K97-L97)/L97</f>
        <v>0.008521450820024451</v>
      </c>
      <c r="N97" s="10"/>
      <c r="R97" s="2"/>
    </row>
    <row r="98" spans="1:18" ht="15.75">
      <c r="A98" s="19"/>
      <c r="B98" s="20">
        <f>DATE(2015,8,1)</f>
        <v>42217</v>
      </c>
      <c r="C98" s="21">
        <v>515175</v>
      </c>
      <c r="D98" s="21">
        <v>609221</v>
      </c>
      <c r="E98" s="23">
        <f>(+C98-D98)/D98</f>
        <v>-0.15437090973554754</v>
      </c>
      <c r="F98" s="21">
        <f>+C98-255335</f>
        <v>259840</v>
      </c>
      <c r="G98" s="21">
        <f>+D98-314633</f>
        <v>294588</v>
      </c>
      <c r="H98" s="23">
        <f>(+F98-G98)/G98</f>
        <v>-0.11795456705636347</v>
      </c>
      <c r="I98" s="24">
        <f>K98/C98</f>
        <v>42.48255223953026</v>
      </c>
      <c r="J98" s="24">
        <f>K98/F98</f>
        <v>84.2285593057266</v>
      </c>
      <c r="K98" s="21">
        <v>21885948.85</v>
      </c>
      <c r="L98" s="21">
        <v>23746820.02</v>
      </c>
      <c r="M98" s="25">
        <f>(+K98-L98)/L98</f>
        <v>-0.07836296263806013</v>
      </c>
      <c r="N98" s="10"/>
      <c r="R98" s="2"/>
    </row>
    <row r="99" spans="1:18" ht="15.75">
      <c r="A99" s="19"/>
      <c r="B99" s="20">
        <f>DATE(2015,9,1)</f>
        <v>42248</v>
      </c>
      <c r="C99" s="21">
        <v>478143</v>
      </c>
      <c r="D99" s="21">
        <v>511921</v>
      </c>
      <c r="E99" s="23">
        <f>(+C99-D99)/D99</f>
        <v>-0.06598283719558291</v>
      </c>
      <c r="F99" s="21">
        <f>+C99-238994</f>
        <v>239149</v>
      </c>
      <c r="G99" s="21">
        <f>+D99-263857</f>
        <v>248064</v>
      </c>
      <c r="H99" s="23">
        <f>(+F99-G99)/G99</f>
        <v>-0.03593830624355005</v>
      </c>
      <c r="I99" s="24">
        <f>K99/C99</f>
        <v>43.54798221452578</v>
      </c>
      <c r="J99" s="24">
        <f>K99/F99</f>
        <v>87.06773961003391</v>
      </c>
      <c r="K99" s="21">
        <v>20822162.86</v>
      </c>
      <c r="L99" s="21">
        <v>20182265.22</v>
      </c>
      <c r="M99" s="25">
        <f>(+K99-L99)/L99</f>
        <v>0.031705937516165524</v>
      </c>
      <c r="N99" s="10"/>
      <c r="R99" s="2"/>
    </row>
    <row r="100" spans="1:18" ht="15.75">
      <c r="A100" s="19"/>
      <c r="B100" s="20">
        <f>DATE(2015,10,1)</f>
        <v>42278</v>
      </c>
      <c r="C100" s="21">
        <v>503455</v>
      </c>
      <c r="D100" s="21">
        <v>541325</v>
      </c>
      <c r="E100" s="23">
        <f>(+C100-D100)/D100</f>
        <v>-0.06995797349097123</v>
      </c>
      <c r="F100" s="21">
        <f>+C100-254713</f>
        <v>248742</v>
      </c>
      <c r="G100" s="21">
        <f>+D100-282682</f>
        <v>258643</v>
      </c>
      <c r="H100" s="23">
        <f>(+F100-G100)/G100</f>
        <v>-0.0382805643299838</v>
      </c>
      <c r="I100" s="24">
        <f>K100/C100</f>
        <v>43.968705425509725</v>
      </c>
      <c r="J100" s="24">
        <f>K100/F100</f>
        <v>88.99287048427688</v>
      </c>
      <c r="K100" s="21">
        <v>22136264.59</v>
      </c>
      <c r="L100" s="21">
        <v>21263399.77</v>
      </c>
      <c r="M100" s="25">
        <f>(+K100-L100)/L100</f>
        <v>0.0410501062596539</v>
      </c>
      <c r="N100" s="10"/>
      <c r="R100" s="2"/>
    </row>
    <row r="101" spans="1:18" ht="15.75">
      <c r="A101" s="19"/>
      <c r="B101" s="20">
        <f>DATE(2015,11,1)</f>
        <v>42309</v>
      </c>
      <c r="C101" s="21">
        <v>499887</v>
      </c>
      <c r="D101" s="21">
        <v>521626</v>
      </c>
      <c r="E101" s="23">
        <f>(+C101-D101)/D101</f>
        <v>-0.04167545329412261</v>
      </c>
      <c r="F101" s="21">
        <f>+C101-256715</f>
        <v>243172</v>
      </c>
      <c r="G101" s="21">
        <f>+D101-265041</f>
        <v>256585</v>
      </c>
      <c r="H101" s="23">
        <f>(+F101-G101)/G101</f>
        <v>-0.052275074536703235</v>
      </c>
      <c r="I101" s="24">
        <f>K101/C101</f>
        <v>42.858070383906764</v>
      </c>
      <c r="J101" s="24">
        <f>K101/F101</f>
        <v>88.10303912457026</v>
      </c>
      <c r="K101" s="21">
        <v>21424192.23</v>
      </c>
      <c r="L101" s="21">
        <v>21348832.19</v>
      </c>
      <c r="M101" s="25">
        <f>(+K101-L101)/L101</f>
        <v>0.0035299373440809785</v>
      </c>
      <c r="N101" s="10"/>
      <c r="R101" s="2"/>
    </row>
    <row r="102" spans="1:18" ht="15.75" thickBot="1">
      <c r="A102" s="38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SUM(C97:C102)</f>
        <v>2528919</v>
      </c>
      <c r="D103" s="41">
        <f>SUM(D97:D102)</f>
        <v>2751370</v>
      </c>
      <c r="E103" s="280">
        <f>(+C103-D103)/D103</f>
        <v>-0.08085099423196444</v>
      </c>
      <c r="F103" s="41">
        <f>SUM(F97:F102)</f>
        <v>1254250</v>
      </c>
      <c r="G103" s="41">
        <f>SUM(G97:G102)</f>
        <v>1327761</v>
      </c>
      <c r="H103" s="42">
        <f>(+F103-G103)/G103</f>
        <v>-0.05536463264096475</v>
      </c>
      <c r="I103" s="43">
        <f>K103/C103</f>
        <v>43.13061058499699</v>
      </c>
      <c r="J103" s="43">
        <f>K103/F103</f>
        <v>86.96338097667929</v>
      </c>
      <c r="K103" s="41">
        <f>SUM(K97:K102)</f>
        <v>109073820.59</v>
      </c>
      <c r="L103" s="41">
        <f>SUM(L97:L102)</f>
        <v>109153877.44</v>
      </c>
      <c r="M103" s="44">
        <f>(+K103-L103)/L103</f>
        <v>-0.0007334311146573781</v>
      </c>
      <c r="N103" s="10"/>
      <c r="R103" s="2"/>
    </row>
    <row r="104" spans="1:18" ht="15.75" customHeight="1" thickTop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>
      <c r="A105" s="19" t="s">
        <v>63</v>
      </c>
      <c r="B105" s="20">
        <f>DATE(2015,7,1)</f>
        <v>42186</v>
      </c>
      <c r="C105" s="21">
        <v>100949</v>
      </c>
      <c r="D105" s="21">
        <v>102496</v>
      </c>
      <c r="E105" s="23">
        <f>(+C105-D105)/D105</f>
        <v>-0.015093271932563221</v>
      </c>
      <c r="F105" s="21">
        <f>+C105-48677</f>
        <v>52272</v>
      </c>
      <c r="G105" s="21">
        <f>+D105-50077</f>
        <v>52419</v>
      </c>
      <c r="H105" s="23">
        <f>(+F105-G105)/G105</f>
        <v>-0.002804326675442111</v>
      </c>
      <c r="I105" s="24">
        <f>K105/C105</f>
        <v>33.72731190997435</v>
      </c>
      <c r="J105" s="24">
        <f>K105/F105</f>
        <v>65.13503233088461</v>
      </c>
      <c r="K105" s="21">
        <v>3404738.41</v>
      </c>
      <c r="L105" s="21">
        <v>3340421.34</v>
      </c>
      <c r="M105" s="25">
        <f>(+K105-L105)/L105</f>
        <v>0.019254178875530804</v>
      </c>
      <c r="N105" s="10"/>
      <c r="R105" s="2"/>
    </row>
    <row r="106" spans="1:18" ht="15.75">
      <c r="A106" s="19"/>
      <c r="B106" s="20">
        <f>DATE(2015,8,1)</f>
        <v>42217</v>
      </c>
      <c r="C106" s="21">
        <v>99494</v>
      </c>
      <c r="D106" s="21">
        <v>103432</v>
      </c>
      <c r="E106" s="23">
        <f>(+C106-D106)/D106</f>
        <v>-0.03807332353623637</v>
      </c>
      <c r="F106" s="21">
        <f>+C106-48236</f>
        <v>51258</v>
      </c>
      <c r="G106" s="21">
        <f>+D106-51483</f>
        <v>51949</v>
      </c>
      <c r="H106" s="23">
        <f>(+F106-G106)/G106</f>
        <v>-0.013301507247492734</v>
      </c>
      <c r="I106" s="24">
        <f>K106/C106</f>
        <v>33.06739793354373</v>
      </c>
      <c r="J106" s="24">
        <f>K106/F106</f>
        <v>64.18525283858129</v>
      </c>
      <c r="K106" s="21">
        <v>3290007.69</v>
      </c>
      <c r="L106" s="21">
        <v>3445802.46</v>
      </c>
      <c r="M106" s="25">
        <f>(+K106-L106)/L106</f>
        <v>-0.04521291391729984</v>
      </c>
      <c r="N106" s="10"/>
      <c r="R106" s="2"/>
    </row>
    <row r="107" spans="1:18" ht="15.75">
      <c r="A107" s="19"/>
      <c r="B107" s="20">
        <f>DATE(2015,9,1)</f>
        <v>42248</v>
      </c>
      <c r="C107" s="21">
        <v>92695</v>
      </c>
      <c r="D107" s="21">
        <v>97371</v>
      </c>
      <c r="E107" s="23">
        <f>(+C107-D107)/D107</f>
        <v>-0.04802251183617299</v>
      </c>
      <c r="F107" s="21">
        <f>+C107-44854</f>
        <v>47841</v>
      </c>
      <c r="G107" s="21">
        <f>+D107-46879</f>
        <v>50492</v>
      </c>
      <c r="H107" s="23">
        <f>(+F107-G107)/G107</f>
        <v>-0.05250336686999921</v>
      </c>
      <c r="I107" s="24">
        <f>K107/C107</f>
        <v>33.739623712174335</v>
      </c>
      <c r="J107" s="24">
        <f>K107/F107</f>
        <v>65.37268075500094</v>
      </c>
      <c r="K107" s="21">
        <v>3127494.42</v>
      </c>
      <c r="L107" s="21">
        <v>3077829.88</v>
      </c>
      <c r="M107" s="25">
        <f>(+K107-L107)/L107</f>
        <v>0.016136219978473938</v>
      </c>
      <c r="N107" s="10"/>
      <c r="R107" s="2"/>
    </row>
    <row r="108" spans="1:18" ht="15.75">
      <c r="A108" s="19"/>
      <c r="B108" s="20">
        <f>DATE(2015,10,1)</f>
        <v>42278</v>
      </c>
      <c r="C108" s="21">
        <v>96289</v>
      </c>
      <c r="D108" s="21">
        <v>97775</v>
      </c>
      <c r="E108" s="23">
        <f>(+C108-D108)/D108</f>
        <v>-0.015198159038609051</v>
      </c>
      <c r="F108" s="21">
        <f>+C108-46411</f>
        <v>49878</v>
      </c>
      <c r="G108" s="21">
        <f>+D108-48511</f>
        <v>49264</v>
      </c>
      <c r="H108" s="23">
        <f>(+F108-G108)/G108</f>
        <v>0.012463462163039948</v>
      </c>
      <c r="I108" s="24">
        <f>K108/C108</f>
        <v>33.37150733728671</v>
      </c>
      <c r="J108" s="24">
        <f>K108/F108</f>
        <v>64.42337443361802</v>
      </c>
      <c r="K108" s="21">
        <v>3213309.07</v>
      </c>
      <c r="L108" s="21">
        <v>3107472.28</v>
      </c>
      <c r="M108" s="25">
        <f>(+K108-L108)/L108</f>
        <v>0.03405880421884248</v>
      </c>
      <c r="N108" s="10"/>
      <c r="R108" s="2"/>
    </row>
    <row r="109" spans="1:18" ht="15.75">
      <c r="A109" s="19"/>
      <c r="B109" s="20">
        <f>DATE(2015,11,1)</f>
        <v>42309</v>
      </c>
      <c r="C109" s="21">
        <v>91334</v>
      </c>
      <c r="D109" s="21">
        <v>92234</v>
      </c>
      <c r="E109" s="23">
        <f>(+C109-D109)/D109</f>
        <v>-0.009757789968991912</v>
      </c>
      <c r="F109" s="21">
        <f>+C109-44474</f>
        <v>46860</v>
      </c>
      <c r="G109" s="21">
        <f>+D109-46503</f>
        <v>45731</v>
      </c>
      <c r="H109" s="23">
        <f>(+F109-G109)/G109</f>
        <v>0.024687848505390218</v>
      </c>
      <c r="I109" s="24">
        <f>K109/C109</f>
        <v>32.33058061619988</v>
      </c>
      <c r="J109" s="24">
        <f>K109/F109</f>
        <v>63.01496478873239</v>
      </c>
      <c r="K109" s="21">
        <v>2952881.25</v>
      </c>
      <c r="L109" s="21">
        <v>3022165.19</v>
      </c>
      <c r="M109" s="25">
        <f>(+K109-L109)/L109</f>
        <v>-0.02292526570991308</v>
      </c>
      <c r="N109" s="10"/>
      <c r="R109" s="2"/>
    </row>
    <row r="110" spans="1:18" ht="15.75" thickBot="1">
      <c r="A110" s="38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26" t="s">
        <v>14</v>
      </c>
      <c r="B111" s="27"/>
      <c r="C111" s="28">
        <f>SUM(C105:C110)</f>
        <v>480761</v>
      </c>
      <c r="D111" s="28">
        <f>SUM(D105:D110)</f>
        <v>493308</v>
      </c>
      <c r="E111" s="280">
        <f>(+C111-D111)/D111</f>
        <v>-0.02543441419964809</v>
      </c>
      <c r="F111" s="28">
        <f>SUM(F105:F110)</f>
        <v>248109</v>
      </c>
      <c r="G111" s="28">
        <f>SUM(G105:G110)</f>
        <v>249855</v>
      </c>
      <c r="H111" s="42">
        <f>(+F111-G111)/G111</f>
        <v>-0.006988053070781053</v>
      </c>
      <c r="I111" s="43">
        <f>K111/C111</f>
        <v>33.256505498574136</v>
      </c>
      <c r="J111" s="43">
        <f>K111/F111</f>
        <v>64.441156265996</v>
      </c>
      <c r="K111" s="28">
        <f>SUM(K105:K110)</f>
        <v>15988430.84</v>
      </c>
      <c r="L111" s="28">
        <f>SUM(L105:L110)</f>
        <v>15993691.149999999</v>
      </c>
      <c r="M111" s="44">
        <f>(+K111-L111)/L111</f>
        <v>-0.00032889906092744946</v>
      </c>
      <c r="N111" s="10"/>
      <c r="R111" s="2"/>
    </row>
    <row r="112" spans="1:18" ht="16.5" thickBot="1" thickTop="1">
      <c r="A112" s="63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Bot="1" thickTop="1">
      <c r="A113" s="64" t="s">
        <v>20</v>
      </c>
      <c r="B113" s="65"/>
      <c r="C113" s="28">
        <f>C111+C103+C47+C63+C71+C31+C15+C79+C87+C39+C95+C23+C55</f>
        <v>17745835</v>
      </c>
      <c r="D113" s="28">
        <f>D111+D103+D47+D63+D71+D31+D15+D79+D87+D39+D95+D23+D55</f>
        <v>18291108</v>
      </c>
      <c r="E113" s="279">
        <f>(+C113-D113)/D113</f>
        <v>-0.02981082392603007</v>
      </c>
      <c r="F113" s="28">
        <f>F111+F103+F47+F63+F71+F31+F15+F79+F87+F39+F95+F23+F55</f>
        <v>8939308</v>
      </c>
      <c r="G113" s="28">
        <f>G111+G103+G47+G63+G71+G31+G15+G79+G87+G39+G95+G23+G55</f>
        <v>9218641</v>
      </c>
      <c r="H113" s="30">
        <f>(+F113-G113)/G113</f>
        <v>-0.030300887083031</v>
      </c>
      <c r="I113" s="31">
        <f>K113/C113</f>
        <v>39.620525414555026</v>
      </c>
      <c r="J113" s="31">
        <f>K113/F113</f>
        <v>78.65254297312501</v>
      </c>
      <c r="K113" s="28">
        <f>K111+K103+K47+K63+K71+K31+K15+K79+K87+K39+K95+K23+K55</f>
        <v>703099306.6200001</v>
      </c>
      <c r="L113" s="28">
        <f>L111+L103+L47+L63+L71+L31+L15+L79+L87+L39+L95+L23+L55</f>
        <v>688689821.11</v>
      </c>
      <c r="M113" s="32">
        <f>(+K113-L113)/L113</f>
        <v>0.020923041212915754</v>
      </c>
      <c r="N113" s="10"/>
      <c r="R113" s="2"/>
    </row>
    <row r="114" spans="1:18" ht="17.25" thickBot="1" thickTop="1">
      <c r="A114" s="64"/>
      <c r="B114" s="65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Bot="1" thickTop="1">
      <c r="A115" s="64" t="s">
        <v>21</v>
      </c>
      <c r="B115" s="65"/>
      <c r="C115" s="28">
        <f>+C13+C21+C29+C37+C45+C53+C61+C69+C77+C85+C93+C101+C109</f>
        <v>3343091</v>
      </c>
      <c r="D115" s="28">
        <f>+D13+D21+D29+D37+D45+D53+D61+D69+D77+D85+D93+D101+D109</f>
        <v>3504905</v>
      </c>
      <c r="E115" s="279">
        <f>(+C115-D115)/D115</f>
        <v>-0.046167870455832614</v>
      </c>
      <c r="F115" s="28">
        <f>+F13+F21+F29+F37+F45+F53+F61+F69+F77+F85+F93+F101+F109</f>
        <v>1675961</v>
      </c>
      <c r="G115" s="28">
        <f>+G13+G21+G29+G37+G45+G53+G61+G69+G77+G85+G93+G101+G109</f>
        <v>1765605</v>
      </c>
      <c r="H115" s="30">
        <f>(+F115-G115)/G115</f>
        <v>-0.050772398129819526</v>
      </c>
      <c r="I115" s="31">
        <f>K115/C115</f>
        <v>40.177249536432</v>
      </c>
      <c r="J115" s="31">
        <f>K115/F115</f>
        <v>80.14279647915434</v>
      </c>
      <c r="K115" s="28">
        <f>+K13+K21+K29+K37+K45+K53+K61+K69+K77+K85+K93+K101+K109</f>
        <v>134316201.32999998</v>
      </c>
      <c r="L115" s="28">
        <f>+L13+L21+L29+L37+L45+L53+L61+L69+L77+L85+L93+L101+L109</f>
        <v>133081699.80999999</v>
      </c>
      <c r="M115" s="44">
        <f>(+K115-L115)/L115</f>
        <v>0.009276268050096195</v>
      </c>
      <c r="N115" s="10"/>
      <c r="R115" s="2"/>
    </row>
    <row r="116" spans="1:18" ht="15.75" thickTop="1">
      <c r="A116" s="66"/>
      <c r="B116" s="67"/>
      <c r="C116" s="68"/>
      <c r="D116" s="67"/>
      <c r="E116" s="67"/>
      <c r="F116" s="67"/>
      <c r="G116" s="67"/>
      <c r="H116" s="67"/>
      <c r="I116" s="67"/>
      <c r="J116" s="67"/>
      <c r="K116" s="68"/>
      <c r="L116" s="68"/>
      <c r="M116" s="67"/>
      <c r="R116" s="2"/>
    </row>
    <row r="117" spans="1:18" ht="18.75">
      <c r="A117" s="264" t="s">
        <v>22</v>
      </c>
      <c r="B117" s="70"/>
      <c r="C117" s="71"/>
      <c r="D117" s="71"/>
      <c r="E117" s="71"/>
      <c r="F117" s="71"/>
      <c r="G117" s="71"/>
      <c r="H117" s="71"/>
      <c r="I117" s="71"/>
      <c r="J117" s="71"/>
      <c r="K117" s="198"/>
      <c r="L117" s="198"/>
      <c r="M117" s="71"/>
      <c r="N117" s="2"/>
      <c r="O117" s="2"/>
      <c r="P117" s="2"/>
      <c r="Q117" s="2"/>
      <c r="R117" s="2"/>
    </row>
    <row r="118" spans="1:18" ht="18">
      <c r="A118" s="69"/>
      <c r="B118" s="70"/>
      <c r="C118" s="71"/>
      <c r="D118" s="71"/>
      <c r="E118" s="71"/>
      <c r="F118" s="71"/>
      <c r="G118" s="71"/>
      <c r="H118" s="71"/>
      <c r="I118" s="71"/>
      <c r="J118" s="71"/>
      <c r="K118" s="198"/>
      <c r="L118" s="198"/>
      <c r="M118" s="71"/>
      <c r="N118" s="2"/>
      <c r="O118" s="2"/>
      <c r="P118" s="2"/>
      <c r="Q118" s="2"/>
      <c r="R118" s="2"/>
    </row>
    <row r="119" spans="1:18" ht="15.75">
      <c r="A119" s="72"/>
      <c r="B119" s="73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3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3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3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3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3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3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4"/>
      <c r="N128" s="2"/>
      <c r="O128" s="2"/>
      <c r="P128" s="2"/>
      <c r="Q128" s="2"/>
      <c r="R128" s="2"/>
    </row>
    <row r="129" spans="1:18" ht="15">
      <c r="A129" s="2"/>
      <c r="B129" s="73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4"/>
      <c r="N129" s="2"/>
      <c r="O129" s="2"/>
      <c r="P129" s="2"/>
      <c r="Q129" s="2"/>
      <c r="R129" s="2"/>
    </row>
    <row r="130" spans="1:18" ht="15">
      <c r="A130" s="2"/>
      <c r="B130" s="70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4"/>
      <c r="N130" s="2"/>
      <c r="O130" s="2"/>
      <c r="P130" s="2"/>
      <c r="Q130" s="2"/>
      <c r="R130" s="2"/>
    </row>
    <row r="131" spans="1:18" ht="15.75">
      <c r="A131" s="76"/>
      <c r="B131" s="70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.75">
      <c r="A132" s="76"/>
      <c r="B132" s="70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.75">
      <c r="A133" s="76"/>
      <c r="B133" s="70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0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77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>
      <c r="A148" s="76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.75">
      <c r="A151" s="76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>
      <c r="A152" s="76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7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77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7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7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>
      <c r="A166" s="76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.75">
      <c r="A169" s="76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.75">
      <c r="A175" s="76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>
      <c r="A178" s="76"/>
      <c r="B178" s="76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5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DATE(2015,7,1)</f>
        <v>42186</v>
      </c>
      <c r="B10" s="89">
        <f>'MONTHLY STATS'!$C$9*2</f>
        <v>567862</v>
      </c>
      <c r="C10" s="89">
        <f>'MONTHLY STATS'!$C$17*2</f>
        <v>328648</v>
      </c>
      <c r="D10" s="89">
        <f>'MONTHLY STATS'!$C$25*2</f>
        <v>156452</v>
      </c>
      <c r="E10" s="89">
        <f>'MONTHLY STATS'!$C$33*2</f>
        <v>989800</v>
      </c>
      <c r="F10" s="89">
        <f>'MONTHLY STATS'!$C$41*2</f>
        <v>638416</v>
      </c>
      <c r="G10" s="89">
        <f>'MONTHLY STATS'!$C$49*2</f>
        <v>325682</v>
      </c>
      <c r="H10" s="89">
        <f>'MONTHLY STATS'!$C$57*2</f>
        <v>445524</v>
      </c>
      <c r="I10" s="89">
        <f>'MONTHLY STATS'!$C$65*2</f>
        <v>630434</v>
      </c>
      <c r="J10" s="89">
        <f>'MONTHLY STATS'!$C$73*2</f>
        <v>894100</v>
      </c>
      <c r="K10" s="89">
        <f>'MONTHLY STATS'!$C$81*2</f>
        <v>1029106</v>
      </c>
      <c r="L10" s="89">
        <f>'MONTHLY STATS'!$C$89*2</f>
        <v>172738</v>
      </c>
      <c r="M10" s="89">
        <f>'MONTHLY STATS'!$C$97*2</f>
        <v>1064518</v>
      </c>
      <c r="N10" s="89">
        <f>'MONTHLY STATS'!$C$105*2</f>
        <v>201898</v>
      </c>
      <c r="O10" s="90">
        <f>SUM(B10:N10)</f>
        <v>7445178</v>
      </c>
      <c r="P10" s="83"/>
    </row>
    <row r="11" spans="1:16" ht="15.75">
      <c r="A11" s="88">
        <f>DATE(2015,8,1)</f>
        <v>42217</v>
      </c>
      <c r="B11" s="89">
        <f>'MONTHLY STATS'!$C$10*2</f>
        <v>547336</v>
      </c>
      <c r="C11" s="89">
        <f>'MONTHLY STATS'!$C$18*2</f>
        <v>317948</v>
      </c>
      <c r="D11" s="89">
        <f>'MONTHLY STATS'!$C$26*2</f>
        <v>152380</v>
      </c>
      <c r="E11" s="89">
        <f>'MONTHLY STATS'!$C$34*2</f>
        <v>945548</v>
      </c>
      <c r="F11" s="89">
        <f>'MONTHLY STATS'!$C$42*2</f>
        <v>631310</v>
      </c>
      <c r="G11" s="89">
        <f>'MONTHLY STATS'!$C$50*2</f>
        <v>332762</v>
      </c>
      <c r="H11" s="89">
        <f>'MONTHLY STATS'!$C$58*2</f>
        <v>409544</v>
      </c>
      <c r="I11" s="89">
        <f>'MONTHLY STATS'!$C$66*2</f>
        <v>620944</v>
      </c>
      <c r="J11" s="89">
        <f>'MONTHLY STATS'!$C$74*2</f>
        <v>955004</v>
      </c>
      <c r="K11" s="89">
        <f>'MONTHLY STATS'!$C$82*2</f>
        <v>1030188</v>
      </c>
      <c r="L11" s="89">
        <f>'MONTHLY STATS'!$C$90*2</f>
        <v>169128</v>
      </c>
      <c r="M11" s="89">
        <f>'MONTHLY STATS'!$C$98*2</f>
        <v>1030350</v>
      </c>
      <c r="N11" s="89">
        <f>'MONTHLY STATS'!$C$106*2</f>
        <v>198988</v>
      </c>
      <c r="O11" s="90">
        <f>SUM(B11:N11)</f>
        <v>7341430</v>
      </c>
      <c r="P11" s="83"/>
    </row>
    <row r="12" spans="1:16" ht="15.75">
      <c r="A12" s="88">
        <f>DATE(2015,9,1)</f>
        <v>42248</v>
      </c>
      <c r="B12" s="89">
        <f>'MONTHLY STATS'!$C$11*2</f>
        <v>532962</v>
      </c>
      <c r="C12" s="89">
        <f>'MONTHLY STATS'!$C$19*2</f>
        <v>292286</v>
      </c>
      <c r="D12" s="89">
        <f>'MONTHLY STATS'!$C$27*2</f>
        <v>151226</v>
      </c>
      <c r="E12" s="89">
        <f>'MONTHLY STATS'!$C$35*2</f>
        <v>852590</v>
      </c>
      <c r="F12" s="89">
        <f>'MONTHLY STATS'!$C$43*2</f>
        <v>586908</v>
      </c>
      <c r="G12" s="89">
        <f>'MONTHLY STATS'!$C$51*2</f>
        <v>315526</v>
      </c>
      <c r="H12" s="89">
        <f>'MONTHLY STATS'!$C$59*2</f>
        <v>390740</v>
      </c>
      <c r="I12" s="89">
        <f>'MONTHLY STATS'!$C$67*2</f>
        <v>683046</v>
      </c>
      <c r="J12" s="89">
        <f>'MONTHLY STATS'!$C$75*2</f>
        <v>848190</v>
      </c>
      <c r="K12" s="89">
        <f>'MONTHLY STATS'!$C$83*2</f>
        <v>956732</v>
      </c>
      <c r="L12" s="89">
        <f>'MONTHLY STATS'!$C$91*2</f>
        <v>158606</v>
      </c>
      <c r="M12" s="89">
        <f>'MONTHLY STATS'!$C$99*2</f>
        <v>956286</v>
      </c>
      <c r="N12" s="89">
        <f>'MONTHLY STATS'!$C$107*2</f>
        <v>185390</v>
      </c>
      <c r="O12" s="90">
        <f>SUM(B12:N12)</f>
        <v>6910488</v>
      </c>
      <c r="P12" s="83"/>
    </row>
    <row r="13" spans="1:16" ht="15.75">
      <c r="A13" s="88">
        <f>DATE(2015,10,1)</f>
        <v>42278</v>
      </c>
      <c r="B13" s="89">
        <f>'MONTHLY STATS'!$C$12*2</f>
        <v>546174</v>
      </c>
      <c r="C13" s="89">
        <f>'MONTHLY STATS'!$C$20*2</f>
        <v>298590</v>
      </c>
      <c r="D13" s="89">
        <f>'MONTHLY STATS'!$C$28*2</f>
        <v>144800</v>
      </c>
      <c r="E13" s="89">
        <f>'MONTHLY STATS'!$C$36*2</f>
        <v>862710</v>
      </c>
      <c r="F13" s="89">
        <f>'MONTHLY STATS'!$C$44*2</f>
        <v>630142</v>
      </c>
      <c r="G13" s="89">
        <f>'MONTHLY STATS'!$C$52*2</f>
        <v>296958</v>
      </c>
      <c r="H13" s="89">
        <f>'MONTHLY STATS'!$C$60*2</f>
        <v>394966</v>
      </c>
      <c r="I13" s="89">
        <f>'MONTHLY STATS'!$C$68*2</f>
        <v>646712</v>
      </c>
      <c r="J13" s="89">
        <f>'MONTHLY STATS'!$C$76*2</f>
        <v>863820</v>
      </c>
      <c r="K13" s="89">
        <f>'MONTHLY STATS'!$C$84*2</f>
        <v>1059946</v>
      </c>
      <c r="L13" s="89">
        <f>'MONTHLY STATS'!$C$92*2</f>
        <v>164086</v>
      </c>
      <c r="M13" s="89">
        <f>'MONTHLY STATS'!$C$100*2</f>
        <v>1006910</v>
      </c>
      <c r="N13" s="89">
        <f>'MONTHLY STATS'!$C$108*2</f>
        <v>192578</v>
      </c>
      <c r="O13" s="90">
        <f>SUM(B13:N13)</f>
        <v>7108392</v>
      </c>
      <c r="P13" s="83"/>
    </row>
    <row r="14" spans="1:16" ht="15.75">
      <c r="A14" s="88">
        <f>DATE(2015,11,1)</f>
        <v>42309</v>
      </c>
      <c r="B14" s="89">
        <f>'MONTHLY STATS'!$C$13*2</f>
        <v>515272</v>
      </c>
      <c r="C14" s="89">
        <f>'MONTHLY STATS'!$C$21*2</f>
        <v>276860</v>
      </c>
      <c r="D14" s="89">
        <f>'MONTHLY STATS'!$C$29*2</f>
        <v>135600</v>
      </c>
      <c r="E14" s="89">
        <f>'MONTHLY STATS'!$C$37*2</f>
        <v>840100</v>
      </c>
      <c r="F14" s="89">
        <f>'MONTHLY STATS'!$C$45*2</f>
        <v>594664</v>
      </c>
      <c r="G14" s="89">
        <f>'MONTHLY STATS'!$C$53*2</f>
        <v>284344</v>
      </c>
      <c r="H14" s="89">
        <f>'MONTHLY STATS'!$C$61*2</f>
        <v>348432</v>
      </c>
      <c r="I14" s="89">
        <f>'MONTHLY STATS'!$C$69*2</f>
        <v>601050</v>
      </c>
      <c r="J14" s="89">
        <f>'MONTHLY STATS'!$C$77*2</f>
        <v>798444</v>
      </c>
      <c r="K14" s="89">
        <f>'MONTHLY STATS'!$C$85*2</f>
        <v>963302</v>
      </c>
      <c r="L14" s="89">
        <f>'MONTHLY STATS'!$C$93*2</f>
        <v>145672</v>
      </c>
      <c r="M14" s="89">
        <f>'MONTHLY STATS'!$C$101*2</f>
        <v>999774</v>
      </c>
      <c r="N14" s="89">
        <f>'MONTHLY STATS'!$C$109*2</f>
        <v>182668</v>
      </c>
      <c r="O14" s="90">
        <f>SUM(B14:N14)</f>
        <v>6686182</v>
      </c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2709606</v>
      </c>
      <c r="C23" s="90">
        <f t="shared" si="0"/>
        <v>1514332</v>
      </c>
      <c r="D23" s="90">
        <f t="shared" si="0"/>
        <v>740458</v>
      </c>
      <c r="E23" s="90">
        <f t="shared" si="0"/>
        <v>4490748</v>
      </c>
      <c r="F23" s="90">
        <f t="shared" si="0"/>
        <v>3081440</v>
      </c>
      <c r="G23" s="90">
        <f>SUM(G10:G21)</f>
        <v>1555272</v>
      </c>
      <c r="H23" s="90">
        <f t="shared" si="0"/>
        <v>1989206</v>
      </c>
      <c r="I23" s="90">
        <f>SUM(I10:I21)</f>
        <v>3182186</v>
      </c>
      <c r="J23" s="90">
        <f t="shared" si="0"/>
        <v>4359558</v>
      </c>
      <c r="K23" s="90">
        <f>SUM(K10:K21)</f>
        <v>5039274</v>
      </c>
      <c r="L23" s="90">
        <f t="shared" si="0"/>
        <v>810230</v>
      </c>
      <c r="M23" s="90">
        <f t="shared" si="0"/>
        <v>5057838</v>
      </c>
      <c r="N23" s="90">
        <f t="shared" si="0"/>
        <v>961522</v>
      </c>
      <c r="O23" s="90">
        <f t="shared" si="0"/>
        <v>35491670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DATE(2015,7,1)</f>
        <v>42186</v>
      </c>
      <c r="B31" s="89">
        <f>'MONTHLY STATS'!$K$9*0.21</f>
        <v>2698484.3655</v>
      </c>
      <c r="C31" s="89">
        <f>'MONTHLY STATS'!$K$17*0.21</f>
        <v>1494049.2945</v>
      </c>
      <c r="D31" s="89">
        <f>'MONTHLY STATS'!$K$25*0.21</f>
        <v>660941.3054999999</v>
      </c>
      <c r="E31" s="89">
        <f>'MONTHLY STATS'!$K$33*0.21</f>
        <v>4382112.5418</v>
      </c>
      <c r="F31" s="89">
        <f>'MONTHLY STATS'!$K$41*0.21</f>
        <v>3013477.3704</v>
      </c>
      <c r="G31" s="89">
        <f>'MONTHLY STATS'!$K$49*0.21</f>
        <v>1111036.8738</v>
      </c>
      <c r="H31" s="89">
        <f>'MONTHLY STATS'!$K$57*0.21</f>
        <v>1456162.3335</v>
      </c>
      <c r="I31" s="89">
        <f>'MONTHLY STATS'!$K$65*0.21</f>
        <v>2323265.5068</v>
      </c>
      <c r="J31" s="89">
        <f>'MONTHLY STATS'!$K$73*0.21</f>
        <v>3583034.3030999997</v>
      </c>
      <c r="K31" s="89">
        <f>'MONTHLY STATS'!$K$81*0.21</f>
        <v>3814358.4507000004</v>
      </c>
      <c r="L31" s="89">
        <f>'MONTHLY STATS'!$K$89*0.21</f>
        <v>655394.7771</v>
      </c>
      <c r="M31" s="89">
        <f>'MONTHLY STATS'!$K$97*0.21</f>
        <v>4789102.9326</v>
      </c>
      <c r="N31" s="89">
        <f>'MONTHLY STATS'!$K$105*0.21</f>
        <v>714995.0661</v>
      </c>
      <c r="O31" s="90">
        <f>SUM(B31:N31)</f>
        <v>30696415.121400002</v>
      </c>
      <c r="P31" s="83"/>
    </row>
    <row r="32" spans="1:16" ht="15.75">
      <c r="A32" s="88">
        <f>DATE(2015,8,1)</f>
        <v>42217</v>
      </c>
      <c r="B32" s="89">
        <f>'MONTHLY STATS'!$K$10*0.21</f>
        <v>2509698.8826</v>
      </c>
      <c r="C32" s="89">
        <f>'MONTHLY STATS'!$K$18*0.21</f>
        <v>1437749.7308999998</v>
      </c>
      <c r="D32" s="89">
        <f>'MONTHLY STATS'!$K$26*0.21</f>
        <v>624360.5802</v>
      </c>
      <c r="E32" s="89">
        <f>'MONTHLY STATS'!$K$34*0.21</f>
        <v>4258795.6782</v>
      </c>
      <c r="F32" s="89">
        <f>'MONTHLY STATS'!$K$42*0.21</f>
        <v>2981105.1543</v>
      </c>
      <c r="G32" s="89">
        <f>'MONTHLY STATS'!$K$50*0.21</f>
        <v>1156465.9407</v>
      </c>
      <c r="H32" s="89">
        <f>'MONTHLY STATS'!$K$58*0.21</f>
        <v>1357816.3557</v>
      </c>
      <c r="I32" s="89">
        <f>'MONTHLY STATS'!$K$66*0.21</f>
        <v>2222382.7835999997</v>
      </c>
      <c r="J32" s="89">
        <f>'MONTHLY STATS'!$K$74*0.21</f>
        <v>3612277.0130999996</v>
      </c>
      <c r="K32" s="89">
        <f>'MONTHLY STATS'!$K$82*0.21</f>
        <v>4000563.3759</v>
      </c>
      <c r="L32" s="89">
        <f>'MONTHLY STATS'!$K$90*0.21</f>
        <v>638382.3831</v>
      </c>
      <c r="M32" s="89">
        <f>'MONTHLY STATS'!$K$98*0.21</f>
        <v>4596049.2585</v>
      </c>
      <c r="N32" s="89">
        <f>'MONTHLY STATS'!$K$106*0.21</f>
        <v>690901.6148999999</v>
      </c>
      <c r="O32" s="90">
        <f>SUM(B32:N32)</f>
        <v>30086548.7517</v>
      </c>
      <c r="P32" s="83"/>
    </row>
    <row r="33" spans="1:16" ht="15.75">
      <c r="A33" s="88">
        <f>DATE(2015,9,1)</f>
        <v>42248</v>
      </c>
      <c r="B33" s="89">
        <f>'MONTHLY STATS'!$K$11*0.21</f>
        <v>2470002.192</v>
      </c>
      <c r="C33" s="89">
        <f>'MONTHLY STATS'!$K$19*0.21</f>
        <v>1348264.6422000001</v>
      </c>
      <c r="D33" s="89">
        <f>'MONTHLY STATS'!$K$27*0.21</f>
        <v>618973.7063999999</v>
      </c>
      <c r="E33" s="89">
        <f>'MONTHLY STATS'!$K$35*0.21</f>
        <v>3730668.6647999994</v>
      </c>
      <c r="F33" s="89">
        <f>'MONTHLY STATS'!$K$43*0.21</f>
        <v>2728657.3587</v>
      </c>
      <c r="G33" s="89">
        <f>'MONTHLY STATS'!$K$51*0.21</f>
        <v>1059216.7698</v>
      </c>
      <c r="H33" s="89">
        <f>'MONTHLY STATS'!$K$59*0.21</f>
        <v>1236178.3916999998</v>
      </c>
      <c r="I33" s="89">
        <f>'MONTHLY STATS'!$K$67*0.21</f>
        <v>2464106.1920999996</v>
      </c>
      <c r="J33" s="89">
        <f>'MONTHLY STATS'!$K$75*0.21</f>
        <v>3374756.7567</v>
      </c>
      <c r="K33" s="89">
        <f>'MONTHLY STATS'!$K$83*0.21</f>
        <v>3613346.7657000003</v>
      </c>
      <c r="L33" s="89">
        <f>'MONTHLY STATS'!$K$91*0.21</f>
        <v>621447.876</v>
      </c>
      <c r="M33" s="89">
        <f>'MONTHLY STATS'!$K$99*0.21</f>
        <v>4372654.2006</v>
      </c>
      <c r="N33" s="89">
        <f>'MONTHLY STATS'!$K$107*0.21</f>
        <v>656773.8282</v>
      </c>
      <c r="O33" s="90">
        <f>SUM(B33:N33)</f>
        <v>28295047.3449</v>
      </c>
      <c r="P33" s="83"/>
    </row>
    <row r="34" spans="1:16" ht="15.75">
      <c r="A34" s="88">
        <f>DATE(2015,10,1)</f>
        <v>42278</v>
      </c>
      <c r="B34" s="89">
        <f>'MONTHLY STATS'!$K$12*0.21</f>
        <v>2599586.3586</v>
      </c>
      <c r="C34" s="89">
        <f>'MONTHLY STATS'!$K$20*0.21</f>
        <v>1391446.0916999998</v>
      </c>
      <c r="D34" s="89">
        <f>'MONTHLY STATS'!$K$28*0.21</f>
        <v>649698.4221</v>
      </c>
      <c r="E34" s="89">
        <f>'MONTHLY STATS'!$K$36*0.21</f>
        <v>3923698.1847</v>
      </c>
      <c r="F34" s="89">
        <f>'MONTHLY STATS'!$K$44*0.21</f>
        <v>3428684.9121</v>
      </c>
      <c r="G34" s="89">
        <f>'MONTHLY STATS'!$K$52*0.21</f>
        <v>1133573.7693</v>
      </c>
      <c r="H34" s="89">
        <f>'MONTHLY STATS'!$K$60*0.21</f>
        <v>1272812.73</v>
      </c>
      <c r="I34" s="89">
        <f>'MONTHLY STATS'!$K$68*0.21</f>
        <v>2529500.4063</v>
      </c>
      <c r="J34" s="89">
        <f>'MONTHLY STATS'!$K$76*0.21</f>
        <v>3348505.9313999997</v>
      </c>
      <c r="K34" s="89">
        <f>'MONTHLY STATS'!$K$84*0.21</f>
        <v>4117505.8449</v>
      </c>
      <c r="L34" s="89">
        <f>'MONTHLY STATS'!$K$92*0.21</f>
        <v>648017.7731999999</v>
      </c>
      <c r="M34" s="89">
        <f>'MONTHLY STATS'!$K$100*0.21</f>
        <v>4648615.5638999995</v>
      </c>
      <c r="N34" s="89">
        <f>'MONTHLY STATS'!$K$108*0.21</f>
        <v>674794.9047</v>
      </c>
      <c r="O34" s="90">
        <f>SUM(B34:N34)</f>
        <v>30366440.8929</v>
      </c>
      <c r="P34" s="83"/>
    </row>
    <row r="35" spans="1:16" ht="15.75">
      <c r="A35" s="88">
        <f>DATE(2015,11,1)</f>
        <v>42309</v>
      </c>
      <c r="B35" s="89">
        <f>'MONTHLY STATS'!$K$13*0.21</f>
        <v>2416082.8839</v>
      </c>
      <c r="C35" s="89">
        <f>'MONTHLY STATS'!$K$21*0.21</f>
        <v>1336966.1802</v>
      </c>
      <c r="D35" s="89">
        <f>'MONTHLY STATS'!$K$29*0.21</f>
        <v>584879.9439</v>
      </c>
      <c r="E35" s="89">
        <f>'MONTHLY STATS'!$K$37*0.21</f>
        <v>3740348.4488999997</v>
      </c>
      <c r="F35" s="89">
        <f>'MONTHLY STATS'!$K$45*0.21</f>
        <v>2716013.5653</v>
      </c>
      <c r="G35" s="89">
        <f>'MONTHLY STATS'!$K$53*0.21</f>
        <v>1023649.1664</v>
      </c>
      <c r="H35" s="89">
        <f>'MONTHLY STATS'!$K$61*0.21</f>
        <v>1272961.9119</v>
      </c>
      <c r="I35" s="89">
        <f>'MONTHLY STATS'!$K$69*0.21</f>
        <v>2286421.6704</v>
      </c>
      <c r="J35" s="89">
        <f>'MONTHLY STATS'!$K$77*0.21</f>
        <v>3247605.4212</v>
      </c>
      <c r="K35" s="89">
        <f>'MONTHLY STATS'!$K$85*0.21</f>
        <v>3844893.2088</v>
      </c>
      <c r="L35" s="89">
        <f>'MONTHLY STATS'!$K$93*0.21</f>
        <v>617394.4476</v>
      </c>
      <c r="M35" s="89">
        <f>'MONTHLY STATS'!$K$101*0.21</f>
        <v>4499080.3683</v>
      </c>
      <c r="N35" s="89">
        <f>'MONTHLY STATS'!$K$109*0.21</f>
        <v>620105.0625</v>
      </c>
      <c r="O35" s="90">
        <f>SUM(B35:N35)</f>
        <v>28206402.279299997</v>
      </c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12693854.682599999</v>
      </c>
      <c r="C44" s="90">
        <f t="shared" si="1"/>
        <v>7008475.9395</v>
      </c>
      <c r="D44" s="90">
        <f t="shared" si="1"/>
        <v>3138853.9581</v>
      </c>
      <c r="E44" s="90">
        <f t="shared" si="1"/>
        <v>20035623.5184</v>
      </c>
      <c r="F44" s="90">
        <f t="shared" si="1"/>
        <v>14867938.360800002</v>
      </c>
      <c r="G44" s="90">
        <f t="shared" si="1"/>
        <v>5483942.52</v>
      </c>
      <c r="H44" s="90">
        <f t="shared" si="1"/>
        <v>6595931.722799999</v>
      </c>
      <c r="I44" s="90">
        <f>SUM(I31:I42)</f>
        <v>11825676.5592</v>
      </c>
      <c r="J44" s="90">
        <f t="shared" si="1"/>
        <v>17166179.425499998</v>
      </c>
      <c r="K44" s="90">
        <f>SUM(K31:K42)</f>
        <v>19390667.646</v>
      </c>
      <c r="L44" s="90">
        <f t="shared" si="1"/>
        <v>3180637.2569999998</v>
      </c>
      <c r="M44" s="90">
        <f t="shared" si="1"/>
        <v>22905502.3239</v>
      </c>
      <c r="N44" s="90">
        <f t="shared" si="1"/>
        <v>3357570.4763999996</v>
      </c>
      <c r="O44" s="90">
        <f t="shared" si="1"/>
        <v>147650854.3902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9" ht="15.75">
      <c r="A47" s="115" t="s">
        <v>31</v>
      </c>
      <c r="B47" s="98"/>
      <c r="C47" s="98"/>
      <c r="D47" s="98"/>
      <c r="E47" s="98"/>
      <c r="F47" s="98"/>
      <c r="G47" s="98"/>
      <c r="H47" s="98"/>
      <c r="I47" s="98"/>
    </row>
    <row r="48" spans="1:9" ht="15.75">
      <c r="A48" s="115"/>
      <c r="B48" s="98"/>
      <c r="C48" s="98"/>
      <c r="D48" s="98"/>
      <c r="E48" s="98"/>
      <c r="F48" s="98"/>
      <c r="G48" s="98"/>
      <c r="H48" s="98"/>
      <c r="I48" s="98"/>
    </row>
    <row r="49" ht="15.75">
      <c r="A49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DATE(2015,7,1)</f>
        <v>42186</v>
      </c>
      <c r="C9" s="204">
        <v>5697664</v>
      </c>
      <c r="D9" s="204">
        <v>1228220.3</v>
      </c>
      <c r="E9" s="204">
        <v>885313</v>
      </c>
      <c r="F9" s="132">
        <f>(+D9-E9)/E9</f>
        <v>0.38732888820112216</v>
      </c>
      <c r="G9" s="215">
        <f>D9/C9</f>
        <v>0.21556558968728237</v>
      </c>
      <c r="H9" s="123"/>
    </row>
    <row r="10" spans="1:8" ht="15.75">
      <c r="A10" s="130"/>
      <c r="B10" s="131">
        <f>DATE(2015,8,1)</f>
        <v>42217</v>
      </c>
      <c r="C10" s="204">
        <v>6299080</v>
      </c>
      <c r="D10" s="204">
        <v>1133774.21</v>
      </c>
      <c r="E10" s="204">
        <v>1087040.34</v>
      </c>
      <c r="F10" s="132">
        <f>(+D10-E10)/E10</f>
        <v>0.042991845178441006</v>
      </c>
      <c r="G10" s="215">
        <f>D10/C10</f>
        <v>0.17999044463635958</v>
      </c>
      <c r="H10" s="123"/>
    </row>
    <row r="11" spans="1:8" ht="15.75">
      <c r="A11" s="130"/>
      <c r="B11" s="131">
        <f>DATE(2015,9,1)</f>
        <v>42248</v>
      </c>
      <c r="C11" s="204">
        <v>5730289</v>
      </c>
      <c r="D11" s="204">
        <v>1129285.5</v>
      </c>
      <c r="E11" s="204">
        <v>1089948.23</v>
      </c>
      <c r="F11" s="132">
        <f>(+D11-E11)/E11</f>
        <v>0.036090952686807905</v>
      </c>
      <c r="G11" s="215">
        <f>D11/C11</f>
        <v>0.19707304465795705</v>
      </c>
      <c r="H11" s="123"/>
    </row>
    <row r="12" spans="1:8" ht="15.75">
      <c r="A12" s="130"/>
      <c r="B12" s="131">
        <f>DATE(2015,10,1)</f>
        <v>42278</v>
      </c>
      <c r="C12" s="204">
        <v>5565735</v>
      </c>
      <c r="D12" s="204">
        <v>1252386.01</v>
      </c>
      <c r="E12" s="204">
        <v>1026326.55</v>
      </c>
      <c r="F12" s="132">
        <f>(+D12-E12)/E12</f>
        <v>0.220260754240451</v>
      </c>
      <c r="G12" s="215">
        <f>D12/C12</f>
        <v>0.2250171828159264</v>
      </c>
      <c r="H12" s="123"/>
    </row>
    <row r="13" spans="1:8" ht="15.75">
      <c r="A13" s="130"/>
      <c r="B13" s="131">
        <f>DATE(2015,11,1)</f>
        <v>42309</v>
      </c>
      <c r="C13" s="204">
        <v>5487036</v>
      </c>
      <c r="D13" s="204">
        <v>1206558.56</v>
      </c>
      <c r="E13" s="204">
        <v>833113.97</v>
      </c>
      <c r="F13" s="132">
        <f>(+D13-E13)/E13</f>
        <v>0.4482515039328894</v>
      </c>
      <c r="G13" s="215">
        <f>D13/C13</f>
        <v>0.21989259046231882</v>
      </c>
      <c r="H13" s="123"/>
    </row>
    <row r="14" spans="1:8" ht="15.75" thickBot="1">
      <c r="A14" s="133"/>
      <c r="B14" s="134"/>
      <c r="C14" s="204"/>
      <c r="D14" s="204"/>
      <c r="E14" s="204"/>
      <c r="F14" s="132"/>
      <c r="G14" s="215"/>
      <c r="H14" s="123"/>
    </row>
    <row r="15" spans="1:8" ht="17.25" thickBot="1" thickTop="1">
      <c r="A15" s="135" t="s">
        <v>14</v>
      </c>
      <c r="B15" s="136"/>
      <c r="C15" s="201">
        <f>SUM(C9:C14)</f>
        <v>28779804</v>
      </c>
      <c r="D15" s="201">
        <f>SUM(D9:D14)</f>
        <v>5950224.58</v>
      </c>
      <c r="E15" s="201">
        <f>SUM(E9:E14)</f>
        <v>4921742.09</v>
      </c>
      <c r="F15" s="137">
        <f>(+D15-E15)/E15</f>
        <v>0.208967164713826</v>
      </c>
      <c r="G15" s="212">
        <f>D15/C15</f>
        <v>0.20675000357889858</v>
      </c>
      <c r="H15" s="123"/>
    </row>
    <row r="16" spans="1:8" ht="15.75" customHeight="1" thickTop="1">
      <c r="A16" s="138"/>
      <c r="B16" s="139"/>
      <c r="C16" s="205"/>
      <c r="D16" s="205"/>
      <c r="E16" s="205"/>
      <c r="F16" s="140"/>
      <c r="G16" s="216"/>
      <c r="H16" s="123"/>
    </row>
    <row r="17" spans="1:8" ht="15.75">
      <c r="A17" s="19" t="s">
        <v>15</v>
      </c>
      <c r="B17" s="131">
        <f>DATE(2015,7,1)</f>
        <v>42186</v>
      </c>
      <c r="C17" s="204">
        <v>2478172</v>
      </c>
      <c r="D17" s="204">
        <v>519910.5</v>
      </c>
      <c r="E17" s="204">
        <v>648014.25</v>
      </c>
      <c r="F17" s="132">
        <f>(+D17-E17)/E17</f>
        <v>-0.19768662494690512</v>
      </c>
      <c r="G17" s="215">
        <f>D17/C17</f>
        <v>0.20979597057831337</v>
      </c>
      <c r="H17" s="123"/>
    </row>
    <row r="18" spans="1:8" ht="15.75">
      <c r="A18" s="19"/>
      <c r="B18" s="131">
        <f>DATE(2015,8,1)</f>
        <v>42217</v>
      </c>
      <c r="C18" s="204">
        <v>2725066</v>
      </c>
      <c r="D18" s="204">
        <v>415029.5</v>
      </c>
      <c r="E18" s="204">
        <v>536234.5</v>
      </c>
      <c r="F18" s="132">
        <f>(+D18-E18)/E18</f>
        <v>-0.22602984328684558</v>
      </c>
      <c r="G18" s="215">
        <f>D18/C18</f>
        <v>0.15230071491846436</v>
      </c>
      <c r="H18" s="123"/>
    </row>
    <row r="19" spans="1:8" ht="15.75">
      <c r="A19" s="19"/>
      <c r="B19" s="131">
        <f>DATE(2015,9,1)</f>
        <v>42248</v>
      </c>
      <c r="C19" s="204">
        <v>2471872.5</v>
      </c>
      <c r="D19" s="204">
        <v>537265</v>
      </c>
      <c r="E19" s="204">
        <v>586348.01</v>
      </c>
      <c r="F19" s="132">
        <f>(+D19-E19)/E19</f>
        <v>-0.08370968974551479</v>
      </c>
      <c r="G19" s="215">
        <f>D19/C19</f>
        <v>0.21735142083582384</v>
      </c>
      <c r="H19" s="123"/>
    </row>
    <row r="20" spans="1:8" ht="15.75">
      <c r="A20" s="19"/>
      <c r="B20" s="131">
        <f>DATE(2015,10,1)</f>
        <v>42278</v>
      </c>
      <c r="C20" s="204">
        <v>2669401</v>
      </c>
      <c r="D20" s="204">
        <v>434631.5</v>
      </c>
      <c r="E20" s="204">
        <v>579096</v>
      </c>
      <c r="F20" s="132">
        <f>(+D20-E20)/E20</f>
        <v>-0.24946554629974996</v>
      </c>
      <c r="G20" s="215">
        <f>D20/C20</f>
        <v>0.16281986108494004</v>
      </c>
      <c r="H20" s="123"/>
    </row>
    <row r="21" spans="1:8" ht="15.75">
      <c r="A21" s="19"/>
      <c r="B21" s="131">
        <f>DATE(2015,11,1)</f>
        <v>42309</v>
      </c>
      <c r="C21" s="204">
        <v>2660520</v>
      </c>
      <c r="D21" s="204">
        <v>548707.5</v>
      </c>
      <c r="E21" s="204">
        <v>520588</v>
      </c>
      <c r="F21" s="132">
        <f>(+D21-E21)/E21</f>
        <v>0.05401488317056866</v>
      </c>
      <c r="G21" s="215">
        <f>D21/C21</f>
        <v>0.2062406973072933</v>
      </c>
      <c r="H21" s="123"/>
    </row>
    <row r="22" spans="1:8" ht="15.75" thickBot="1">
      <c r="A22" s="133"/>
      <c r="B22" s="131"/>
      <c r="C22" s="204"/>
      <c r="D22" s="204"/>
      <c r="E22" s="204"/>
      <c r="F22" s="132"/>
      <c r="G22" s="215"/>
      <c r="H22" s="123"/>
    </row>
    <row r="23" spans="1:8" ht="17.25" thickBot="1" thickTop="1">
      <c r="A23" s="135" t="s">
        <v>14</v>
      </c>
      <c r="B23" s="136"/>
      <c r="C23" s="201">
        <f>SUM(C17:C22)</f>
        <v>13005031.5</v>
      </c>
      <c r="D23" s="201">
        <f>SUM(D17:D22)</f>
        <v>2455544</v>
      </c>
      <c r="E23" s="201">
        <f>SUM(E17:E22)</f>
        <v>2870280.76</v>
      </c>
      <c r="F23" s="137">
        <f>(+D23-E23)/E23</f>
        <v>-0.1444934466968311</v>
      </c>
      <c r="G23" s="212">
        <f>D23/C23</f>
        <v>0.18881492136332004</v>
      </c>
      <c r="H23" s="123"/>
    </row>
    <row r="24" spans="1:8" ht="15.75" customHeight="1" thickTop="1">
      <c r="A24" s="255"/>
      <c r="B24" s="139"/>
      <c r="C24" s="205"/>
      <c r="D24" s="205"/>
      <c r="E24" s="205"/>
      <c r="F24" s="140"/>
      <c r="G24" s="219"/>
      <c r="H24" s="123"/>
    </row>
    <row r="25" spans="1:8" ht="15.75">
      <c r="A25" s="19" t="s">
        <v>56</v>
      </c>
      <c r="B25" s="131">
        <f>DATE(2015,7,1)</f>
        <v>42186</v>
      </c>
      <c r="C25" s="204">
        <v>1336768</v>
      </c>
      <c r="D25" s="204">
        <v>301036</v>
      </c>
      <c r="E25" s="204">
        <v>269057.5</v>
      </c>
      <c r="F25" s="132">
        <f>(+D25-E25)/E25</f>
        <v>0.11885377660908913</v>
      </c>
      <c r="G25" s="215">
        <f>D25/C25</f>
        <v>0.22519689280413654</v>
      </c>
      <c r="H25" s="123"/>
    </row>
    <row r="26" spans="1:8" ht="15.75">
      <c r="A26" s="19"/>
      <c r="B26" s="131">
        <f>DATE(2015,8,1)</f>
        <v>42217</v>
      </c>
      <c r="C26" s="204">
        <v>1267637</v>
      </c>
      <c r="D26" s="204">
        <v>259067</v>
      </c>
      <c r="E26" s="204">
        <v>293428.5</v>
      </c>
      <c r="F26" s="132">
        <f>(+D26-E26)/E26</f>
        <v>-0.11710348517611616</v>
      </c>
      <c r="G26" s="215">
        <f>D26/C26</f>
        <v>0.2043700207551531</v>
      </c>
      <c r="H26" s="123"/>
    </row>
    <row r="27" spans="1:8" ht="15.75">
      <c r="A27" s="19"/>
      <c r="B27" s="131">
        <f>DATE(2015,9,1)</f>
        <v>42248</v>
      </c>
      <c r="C27" s="204">
        <v>1318819</v>
      </c>
      <c r="D27" s="204">
        <v>252068</v>
      </c>
      <c r="E27" s="204">
        <v>281304</v>
      </c>
      <c r="F27" s="132">
        <f>(+D27-E27)/E27</f>
        <v>-0.10393026761084094</v>
      </c>
      <c r="G27" s="215">
        <f>D27/C27</f>
        <v>0.19113161093372177</v>
      </c>
      <c r="H27" s="123"/>
    </row>
    <row r="28" spans="1:8" ht="15.75">
      <c r="A28" s="19"/>
      <c r="B28" s="131">
        <f>DATE(2015,10,1)</f>
        <v>42278</v>
      </c>
      <c r="C28" s="204">
        <v>1241076</v>
      </c>
      <c r="D28" s="204">
        <v>326686.5</v>
      </c>
      <c r="E28" s="204">
        <v>223101</v>
      </c>
      <c r="F28" s="132">
        <f>(+D28-E28)/E28</f>
        <v>0.4642986808665134</v>
      </c>
      <c r="G28" s="215">
        <f>D28/C28</f>
        <v>0.26322844048229116</v>
      </c>
      <c r="H28" s="123"/>
    </row>
    <row r="29" spans="1:8" ht="15.75">
      <c r="A29" s="19"/>
      <c r="B29" s="131">
        <f>DATE(2015,11,1)</f>
        <v>42309</v>
      </c>
      <c r="C29" s="204">
        <v>1173793</v>
      </c>
      <c r="D29" s="204">
        <v>266876.5</v>
      </c>
      <c r="E29" s="204">
        <v>243735</v>
      </c>
      <c r="F29" s="132">
        <f>(+D29-E29)/E29</f>
        <v>0.09494532996902373</v>
      </c>
      <c r="G29" s="215">
        <f>D29/C29</f>
        <v>0.22736249066061903</v>
      </c>
      <c r="H29" s="123"/>
    </row>
    <row r="30" spans="1:8" ht="15.75" thickBot="1">
      <c r="A30" s="133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41" t="s">
        <v>14</v>
      </c>
      <c r="B31" s="142"/>
      <c r="C31" s="206">
        <f>SUM(C25:C30)</f>
        <v>6338093</v>
      </c>
      <c r="D31" s="206">
        <f>SUM(D25:D30)</f>
        <v>1405734</v>
      </c>
      <c r="E31" s="206">
        <f>SUM(E25:E30)</f>
        <v>1310626</v>
      </c>
      <c r="F31" s="143">
        <f>(+D31-E31)/E31</f>
        <v>0.07256684973440172</v>
      </c>
      <c r="G31" s="217">
        <f>D31/C31</f>
        <v>0.22179131798791846</v>
      </c>
      <c r="H31" s="123"/>
    </row>
    <row r="32" spans="1:8" ht="15.75" thickTop="1">
      <c r="A32" s="133"/>
      <c r="B32" s="134"/>
      <c r="C32" s="204"/>
      <c r="D32" s="204"/>
      <c r="E32" s="204"/>
      <c r="F32" s="132"/>
      <c r="G32" s="218"/>
      <c r="H32" s="123"/>
    </row>
    <row r="33" spans="1:8" ht="15.75">
      <c r="A33" s="177" t="s">
        <v>65</v>
      </c>
      <c r="B33" s="131">
        <f>DATE(2015,7,1)</f>
        <v>42186</v>
      </c>
      <c r="C33" s="204">
        <v>14132212</v>
      </c>
      <c r="D33" s="204">
        <v>2897555.15</v>
      </c>
      <c r="E33" s="204">
        <v>2863106.21</v>
      </c>
      <c r="F33" s="132">
        <f>(+D33-E33)/E33</f>
        <v>0.012032016094855226</v>
      </c>
      <c r="G33" s="215">
        <f>D33/C33</f>
        <v>0.2050319617339451</v>
      </c>
      <c r="H33" s="123"/>
    </row>
    <row r="34" spans="1:8" ht="15.75">
      <c r="A34" s="177"/>
      <c r="B34" s="131">
        <f>DATE(2015,8,1)</f>
        <v>42217</v>
      </c>
      <c r="C34" s="204">
        <v>13874808</v>
      </c>
      <c r="D34" s="204">
        <v>3306098.47</v>
      </c>
      <c r="E34" s="204">
        <v>1916626.25</v>
      </c>
      <c r="F34" s="132">
        <f>(+D34-E34)/E34</f>
        <v>0.7249573149694679</v>
      </c>
      <c r="G34" s="215">
        <f>D34/C34</f>
        <v>0.23828066449640242</v>
      </c>
      <c r="H34" s="123"/>
    </row>
    <row r="35" spans="1:8" ht="15.75">
      <c r="A35" s="177"/>
      <c r="B35" s="131">
        <f>DATE(2015,9,1)</f>
        <v>42248</v>
      </c>
      <c r="C35" s="204">
        <v>13295493.05</v>
      </c>
      <c r="D35" s="204">
        <v>2474055.15</v>
      </c>
      <c r="E35" s="204">
        <v>1773873.21</v>
      </c>
      <c r="F35" s="132">
        <f>(+D35-E35)/E35</f>
        <v>0.39471927083221464</v>
      </c>
      <c r="G35" s="215">
        <f>D35/C35</f>
        <v>0.18608224160592524</v>
      </c>
      <c r="H35" s="123"/>
    </row>
    <row r="36" spans="1:8" ht="15.75">
      <c r="A36" s="177"/>
      <c r="B36" s="131">
        <f>DATE(2015,10,1)</f>
        <v>42278</v>
      </c>
      <c r="C36" s="204">
        <v>12941446</v>
      </c>
      <c r="D36" s="204">
        <v>2556172.52</v>
      </c>
      <c r="E36" s="204">
        <v>2542192.75</v>
      </c>
      <c r="F36" s="132">
        <f>(+D36-E36)/E36</f>
        <v>0.005499099153673544</v>
      </c>
      <c r="G36" s="215">
        <f>D36/C36</f>
        <v>0.19751830823232583</v>
      </c>
      <c r="H36" s="123"/>
    </row>
    <row r="37" spans="1:8" ht="15.75">
      <c r="A37" s="177"/>
      <c r="B37" s="131">
        <f>DATE(2015,11,1)</f>
        <v>42309</v>
      </c>
      <c r="C37" s="204">
        <v>12484630</v>
      </c>
      <c r="D37" s="204">
        <v>2605728.44</v>
      </c>
      <c r="E37" s="204">
        <v>2296283.49</v>
      </c>
      <c r="F37" s="132">
        <f>(+D37-E37)/E37</f>
        <v>0.1347590362198701</v>
      </c>
      <c r="G37" s="215">
        <f>D37/C37</f>
        <v>0.20871491105463277</v>
      </c>
      <c r="H37" s="123"/>
    </row>
    <row r="38" spans="1:8" ht="15.75" customHeight="1" thickBot="1">
      <c r="A38" s="133"/>
      <c r="B38" s="134"/>
      <c r="C38" s="204"/>
      <c r="D38" s="204"/>
      <c r="E38" s="204"/>
      <c r="F38" s="132"/>
      <c r="G38" s="215"/>
      <c r="H38" s="123"/>
    </row>
    <row r="39" spans="1:8" ht="17.25" customHeight="1" thickBot="1" thickTop="1">
      <c r="A39" s="141" t="s">
        <v>14</v>
      </c>
      <c r="B39" s="142"/>
      <c r="C39" s="206">
        <f>SUM(C33:C38)</f>
        <v>66728589.05</v>
      </c>
      <c r="D39" s="206">
        <f>SUM(D33:D38)</f>
        <v>13839609.729999999</v>
      </c>
      <c r="E39" s="206">
        <f>SUM(E33:E38)</f>
        <v>11392081.91</v>
      </c>
      <c r="F39" s="143">
        <f>(+D39-E39)/E39</f>
        <v>0.21484464730292643</v>
      </c>
      <c r="G39" s="217">
        <f>D39/C39</f>
        <v>0.20740150401846388</v>
      </c>
      <c r="H39" s="123"/>
    </row>
    <row r="40" spans="1:8" ht="15.75" customHeight="1" thickTop="1">
      <c r="A40" s="133"/>
      <c r="B40" s="134"/>
      <c r="C40" s="204"/>
      <c r="D40" s="204"/>
      <c r="E40" s="204"/>
      <c r="F40" s="132"/>
      <c r="G40" s="218"/>
      <c r="H40" s="123"/>
    </row>
    <row r="41" spans="1:8" ht="15" customHeight="1">
      <c r="A41" s="130" t="s">
        <v>39</v>
      </c>
      <c r="B41" s="131">
        <f>DATE(2015,7,1)</f>
        <v>42186</v>
      </c>
      <c r="C41" s="204">
        <v>15713660</v>
      </c>
      <c r="D41" s="204">
        <v>2761601.5</v>
      </c>
      <c r="E41" s="204">
        <v>3102423</v>
      </c>
      <c r="F41" s="132">
        <f>(+D41-E41)/E41</f>
        <v>-0.10985655405468564</v>
      </c>
      <c r="G41" s="215">
        <f>D41/C41</f>
        <v>0.1757452751300461</v>
      </c>
      <c r="H41" s="123"/>
    </row>
    <row r="42" spans="1:8" ht="15" customHeight="1">
      <c r="A42" s="130"/>
      <c r="B42" s="131">
        <f>DATE(2015,8,1)</f>
        <v>42217</v>
      </c>
      <c r="C42" s="204">
        <v>14749626</v>
      </c>
      <c r="D42" s="204">
        <v>3308323</v>
      </c>
      <c r="E42" s="204">
        <v>2663132</v>
      </c>
      <c r="F42" s="132">
        <f>(+D42-E42)/E42</f>
        <v>0.24226775090382302</v>
      </c>
      <c r="G42" s="215">
        <f>D42/C42</f>
        <v>0.2242987720502201</v>
      </c>
      <c r="H42" s="123"/>
    </row>
    <row r="43" spans="1:8" ht="15" customHeight="1">
      <c r="A43" s="130"/>
      <c r="B43" s="131">
        <f>DATE(2015,9,1)</f>
        <v>42248</v>
      </c>
      <c r="C43" s="204">
        <v>14704020</v>
      </c>
      <c r="D43" s="204">
        <v>2544186.5</v>
      </c>
      <c r="E43" s="204">
        <v>3098933.5</v>
      </c>
      <c r="F43" s="132">
        <f>(+D43-E43)/E43</f>
        <v>-0.17901223114339176</v>
      </c>
      <c r="G43" s="215">
        <f>D43/C43</f>
        <v>0.1730265940878753</v>
      </c>
      <c r="H43" s="123"/>
    </row>
    <row r="44" spans="1:8" ht="15" customHeight="1">
      <c r="A44" s="130"/>
      <c r="B44" s="131">
        <f>DATE(2015,10,1)</f>
        <v>42278</v>
      </c>
      <c r="C44" s="204">
        <v>16854785</v>
      </c>
      <c r="D44" s="204">
        <v>4526740.5</v>
      </c>
      <c r="E44" s="204">
        <v>3451515</v>
      </c>
      <c r="F44" s="132">
        <f>(+D44-E44)/E44</f>
        <v>0.31152276608967366</v>
      </c>
      <c r="G44" s="215">
        <f>D44/C44</f>
        <v>0.26857301947191853</v>
      </c>
      <c r="H44" s="123"/>
    </row>
    <row r="45" spans="1:8" ht="15" customHeight="1">
      <c r="A45" s="130"/>
      <c r="B45" s="131">
        <f>DATE(2015,11,1)</f>
        <v>42309</v>
      </c>
      <c r="C45" s="204">
        <v>15060807</v>
      </c>
      <c r="D45" s="204">
        <v>2850434</v>
      </c>
      <c r="E45" s="204">
        <v>3402957</v>
      </c>
      <c r="F45" s="132">
        <f>(+D45-E45)/E45</f>
        <v>-0.16236555442810474</v>
      </c>
      <c r="G45" s="215">
        <f>D45/C45</f>
        <v>0.1892617042366986</v>
      </c>
      <c r="H45" s="123"/>
    </row>
    <row r="46" spans="1:8" ht="15.7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7">
        <f>SUM(C41:C46)</f>
        <v>77082898</v>
      </c>
      <c r="D47" s="261">
        <f>SUM(D41:D46)</f>
        <v>15991285.5</v>
      </c>
      <c r="E47" s="206">
        <f>SUM(E41:E46)</f>
        <v>15718960.5</v>
      </c>
      <c r="F47" s="268">
        <f>(+D47-E47)/E47</f>
        <v>0.017324618889397934</v>
      </c>
      <c r="G47" s="267">
        <f>D47/C47</f>
        <v>0.20745568621459975</v>
      </c>
      <c r="H47" s="123"/>
    </row>
    <row r="48" spans="1:8" ht="15.75" customHeight="1" thickTop="1">
      <c r="A48" s="130"/>
      <c r="B48" s="134"/>
      <c r="C48" s="204"/>
      <c r="D48" s="204"/>
      <c r="E48" s="204"/>
      <c r="F48" s="132"/>
      <c r="G48" s="218"/>
      <c r="H48" s="123"/>
    </row>
    <row r="49" spans="1:8" ht="15.75">
      <c r="A49" s="130" t="s">
        <v>66</v>
      </c>
      <c r="B49" s="131">
        <f>DATE(2015,7,1)</f>
        <v>42186</v>
      </c>
      <c r="C49" s="204">
        <v>3285911</v>
      </c>
      <c r="D49" s="204">
        <v>392173.5</v>
      </c>
      <c r="E49" s="204">
        <v>735730.5</v>
      </c>
      <c r="F49" s="132">
        <f>(+D49-E49)/E49</f>
        <v>-0.4669603883487228</v>
      </c>
      <c r="G49" s="215">
        <f>D49/C49</f>
        <v>0.11935000674090078</v>
      </c>
      <c r="H49" s="123"/>
    </row>
    <row r="50" spans="1:8" ht="15.75">
      <c r="A50" s="130"/>
      <c r="B50" s="131">
        <f>DATE(2015,8,1)</f>
        <v>42217</v>
      </c>
      <c r="C50" s="204">
        <v>3046199</v>
      </c>
      <c r="D50" s="204">
        <v>784885.5</v>
      </c>
      <c r="E50" s="204">
        <v>727825</v>
      </c>
      <c r="F50" s="132">
        <f>(+D50-E50)/E50</f>
        <v>0.07839865352248136</v>
      </c>
      <c r="G50" s="215">
        <f>D50/C50</f>
        <v>0.25766061245506283</v>
      </c>
      <c r="H50" s="123"/>
    </row>
    <row r="51" spans="1:8" ht="15.75">
      <c r="A51" s="130"/>
      <c r="B51" s="131">
        <f>DATE(2015,9,1)</f>
        <v>42248</v>
      </c>
      <c r="C51" s="204">
        <v>2625164</v>
      </c>
      <c r="D51" s="204">
        <v>483089.12</v>
      </c>
      <c r="E51" s="204">
        <v>570839</v>
      </c>
      <c r="F51" s="132">
        <f>(+D51-E51)/E51</f>
        <v>-0.15372089152983592</v>
      </c>
      <c r="G51" s="215">
        <f>D51/C51</f>
        <v>0.18402245345433657</v>
      </c>
      <c r="H51" s="123"/>
    </row>
    <row r="52" spans="1:8" ht="15.75">
      <c r="A52" s="130"/>
      <c r="B52" s="131">
        <f>DATE(2015,10,1)</f>
        <v>42278</v>
      </c>
      <c r="C52" s="204">
        <v>2686218</v>
      </c>
      <c r="D52" s="204">
        <v>705886</v>
      </c>
      <c r="E52" s="204">
        <v>661480</v>
      </c>
      <c r="F52" s="132">
        <f>(+D52-E52)/E52</f>
        <v>0.06713128136905122</v>
      </c>
      <c r="G52" s="215">
        <f>D52/C52</f>
        <v>0.2627806082752777</v>
      </c>
      <c r="H52" s="123"/>
    </row>
    <row r="53" spans="1:8" ht="15.75">
      <c r="A53" s="130"/>
      <c r="B53" s="131">
        <f>DATE(2015,11,1)</f>
        <v>42309</v>
      </c>
      <c r="C53" s="204">
        <v>2735790</v>
      </c>
      <c r="D53" s="204">
        <v>654151.5</v>
      </c>
      <c r="E53" s="204">
        <v>551813.5</v>
      </c>
      <c r="F53" s="132">
        <f>(+D53-E53)/E53</f>
        <v>0.1854575866665096</v>
      </c>
      <c r="G53" s="215">
        <f>D53/C53</f>
        <v>0.23910881317644994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7">
        <f>SUM(C49:C54)</f>
        <v>14379282</v>
      </c>
      <c r="D55" s="261">
        <f>SUM(D49:D54)</f>
        <v>3020185.62</v>
      </c>
      <c r="E55" s="207">
        <f>SUM(E49:E54)</f>
        <v>3247688</v>
      </c>
      <c r="F55" s="268">
        <f>(+D55-E55)/E55</f>
        <v>-0.07005056520207603</v>
      </c>
      <c r="G55" s="267">
        <f>D55/C55</f>
        <v>0.21003730367065618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.75">
      <c r="A57" s="130" t="s">
        <v>17</v>
      </c>
      <c r="B57" s="131">
        <f>DATE(2015,7,1)</f>
        <v>42186</v>
      </c>
      <c r="C57" s="204">
        <v>1966583.1</v>
      </c>
      <c r="D57" s="204">
        <v>467437.6</v>
      </c>
      <c r="E57" s="204">
        <v>301337.75</v>
      </c>
      <c r="F57" s="132">
        <f>(+D57-E57)/E57</f>
        <v>0.5512082372686462</v>
      </c>
      <c r="G57" s="215">
        <f>D57/C57</f>
        <v>0.23769023541390139</v>
      </c>
      <c r="H57" s="123"/>
    </row>
    <row r="58" spans="1:8" ht="15.75">
      <c r="A58" s="130"/>
      <c r="B58" s="131">
        <f>DATE(2015,8,1)</f>
        <v>42217</v>
      </c>
      <c r="C58" s="204">
        <v>1732068</v>
      </c>
      <c r="D58" s="204">
        <v>413705.5</v>
      </c>
      <c r="E58" s="204">
        <v>367412.51</v>
      </c>
      <c r="F58" s="132">
        <f>(+D58-E58)/E58</f>
        <v>0.12599731566026423</v>
      </c>
      <c r="G58" s="215">
        <f>D58/C58</f>
        <v>0.23885061094599058</v>
      </c>
      <c r="H58" s="123"/>
    </row>
    <row r="59" spans="1:8" ht="15.75">
      <c r="A59" s="130"/>
      <c r="B59" s="131">
        <f>DATE(2015,9,1)</f>
        <v>42248</v>
      </c>
      <c r="C59" s="204">
        <v>1651415.5</v>
      </c>
      <c r="D59" s="204">
        <v>370127.5</v>
      </c>
      <c r="E59" s="204">
        <v>473348.25</v>
      </c>
      <c r="F59" s="132">
        <f>(+D59-E59)/E59</f>
        <v>-0.21806513491916363</v>
      </c>
      <c r="G59" s="215">
        <f>D59/C59</f>
        <v>0.22412742280788814</v>
      </c>
      <c r="H59" s="123"/>
    </row>
    <row r="60" spans="1:8" ht="15.75">
      <c r="A60" s="130"/>
      <c r="B60" s="131">
        <f>DATE(2015,10,1)</f>
        <v>42278</v>
      </c>
      <c r="C60" s="204">
        <v>1663855</v>
      </c>
      <c r="D60" s="204">
        <v>339797.5</v>
      </c>
      <c r="E60" s="204">
        <v>303884.6</v>
      </c>
      <c r="F60" s="132">
        <f>(+D60-E60)/E60</f>
        <v>0.11817940099629934</v>
      </c>
      <c r="G60" s="215">
        <f>D60/C60</f>
        <v>0.2042230242418961</v>
      </c>
      <c r="H60" s="123"/>
    </row>
    <row r="61" spans="1:8" ht="15.75">
      <c r="A61" s="130"/>
      <c r="B61" s="131">
        <f>DATE(2015,11,1)</f>
        <v>42309</v>
      </c>
      <c r="C61" s="204">
        <v>1654439.05</v>
      </c>
      <c r="D61" s="204">
        <v>385671.05</v>
      </c>
      <c r="E61" s="204">
        <v>299669.5</v>
      </c>
      <c r="F61" s="132">
        <f>(+D61-E61)/E61</f>
        <v>0.2869879984449535</v>
      </c>
      <c r="G61" s="215">
        <f>D61/C61</f>
        <v>0.2331128789543501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7">
        <f>SUM(C57:C62)</f>
        <v>8668360.65</v>
      </c>
      <c r="D63" s="261">
        <f>SUM(D57:D62)</f>
        <v>1976739.1500000001</v>
      </c>
      <c r="E63" s="207">
        <f>SUM(E57:E62)</f>
        <v>1745652.6099999999</v>
      </c>
      <c r="F63" s="269">
        <f>(+D63-E63)/E63</f>
        <v>0.13237830864870662</v>
      </c>
      <c r="G63" s="267">
        <f>D63/C63</f>
        <v>0.22804071378825247</v>
      </c>
      <c r="H63" s="123"/>
    </row>
    <row r="64" spans="1:8" ht="15.75" customHeight="1" thickTop="1">
      <c r="A64" s="130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55</v>
      </c>
      <c r="B65" s="131">
        <f>DATE(2015,7,1)</f>
        <v>42186</v>
      </c>
      <c r="C65" s="204">
        <v>10971270</v>
      </c>
      <c r="D65" s="204">
        <v>2155194.5</v>
      </c>
      <c r="E65" s="204">
        <v>2162151.44</v>
      </c>
      <c r="F65" s="132">
        <f>(+D65-E65)/E65</f>
        <v>-0.003217600706081876</v>
      </c>
      <c r="G65" s="215">
        <f>D65/C65</f>
        <v>0.19643983786744834</v>
      </c>
      <c r="H65" s="123"/>
    </row>
    <row r="66" spans="1:8" ht="15.75">
      <c r="A66" s="130"/>
      <c r="B66" s="131">
        <f>DATE(2015,8,1)</f>
        <v>42217</v>
      </c>
      <c r="C66" s="204">
        <v>11760782</v>
      </c>
      <c r="D66" s="204">
        <v>1871026</v>
      </c>
      <c r="E66" s="204">
        <v>2638369.5</v>
      </c>
      <c r="F66" s="132">
        <f>(+D66-E66)/E66</f>
        <v>-0.29084004344349795</v>
      </c>
      <c r="G66" s="215">
        <f>D66/C66</f>
        <v>0.15909027137821277</v>
      </c>
      <c r="H66" s="123"/>
    </row>
    <row r="67" spans="1:8" ht="15.75">
      <c r="A67" s="130"/>
      <c r="B67" s="131">
        <f>DATE(2015,9,1)</f>
        <v>42248</v>
      </c>
      <c r="C67" s="204">
        <v>11270033</v>
      </c>
      <c r="D67" s="204">
        <v>1903429.82</v>
      </c>
      <c r="E67" s="204">
        <v>2375626.68</v>
      </c>
      <c r="F67" s="132">
        <f>(+D67-E67)/E67</f>
        <v>-0.19876728274494715</v>
      </c>
      <c r="G67" s="215">
        <f>D67/C67</f>
        <v>0.16889301211451643</v>
      </c>
      <c r="H67" s="123"/>
    </row>
    <row r="68" spans="1:8" ht="15.75">
      <c r="A68" s="130"/>
      <c r="B68" s="131">
        <f>DATE(2015,10,1)</f>
        <v>42278</v>
      </c>
      <c r="C68" s="204">
        <v>11909835</v>
      </c>
      <c r="D68" s="204">
        <v>2358646.99</v>
      </c>
      <c r="E68" s="204">
        <v>2426645.58</v>
      </c>
      <c r="F68" s="132">
        <f>(+D68-E68)/E68</f>
        <v>-0.028021640473760427</v>
      </c>
      <c r="G68" s="215">
        <f>D68/C68</f>
        <v>0.19804195356190915</v>
      </c>
      <c r="H68" s="123"/>
    </row>
    <row r="69" spans="1:8" ht="15.75">
      <c r="A69" s="130"/>
      <c r="B69" s="131">
        <f>DATE(2015,11,1)</f>
        <v>42309</v>
      </c>
      <c r="C69" s="204">
        <v>11952208</v>
      </c>
      <c r="D69" s="204">
        <v>2479916.3</v>
      </c>
      <c r="E69" s="204">
        <v>2399138.8</v>
      </c>
      <c r="F69" s="132">
        <f>(+D69-E69)/E69</f>
        <v>0.03366937336014073</v>
      </c>
      <c r="G69" s="215">
        <f>D69/C69</f>
        <v>0.20748603939958205</v>
      </c>
      <c r="H69" s="123"/>
    </row>
    <row r="70" spans="1:8" ht="15.75" customHeight="1" thickBot="1">
      <c r="A70" s="130"/>
      <c r="B70" s="131"/>
      <c r="C70" s="204"/>
      <c r="D70" s="204"/>
      <c r="E70" s="204"/>
      <c r="F70" s="132"/>
      <c r="G70" s="215"/>
      <c r="H70" s="123"/>
    </row>
    <row r="71" spans="1:8" ht="17.25" thickBot="1" thickTop="1">
      <c r="A71" s="141" t="s">
        <v>14</v>
      </c>
      <c r="B71" s="142"/>
      <c r="C71" s="206">
        <f>SUM(C65:C70)</f>
        <v>57864128</v>
      </c>
      <c r="D71" s="206">
        <f>SUM(D65:D70)</f>
        <v>10768213.61</v>
      </c>
      <c r="E71" s="206">
        <f>SUM(E65:E70)</f>
        <v>12001932</v>
      </c>
      <c r="F71" s="143">
        <f>(+D71-E71)/E71</f>
        <v>-0.10279331610943976</v>
      </c>
      <c r="G71" s="217">
        <f>D71/C71</f>
        <v>0.1860948048849885</v>
      </c>
      <c r="H71" s="123"/>
    </row>
    <row r="72" spans="1:8" ht="15.75" customHeight="1" thickTop="1">
      <c r="A72" s="138"/>
      <c r="B72" s="139"/>
      <c r="C72" s="205"/>
      <c r="D72" s="205"/>
      <c r="E72" s="205"/>
      <c r="F72" s="140"/>
      <c r="G72" s="216"/>
      <c r="H72" s="123"/>
    </row>
    <row r="73" spans="1:8" ht="15.75">
      <c r="A73" s="130" t="s">
        <v>18</v>
      </c>
      <c r="B73" s="131">
        <f>DATE(2015,7,1)</f>
        <v>42186</v>
      </c>
      <c r="C73" s="204">
        <v>10255459.01</v>
      </c>
      <c r="D73" s="204">
        <v>2314488.01</v>
      </c>
      <c r="E73" s="204">
        <v>1710881</v>
      </c>
      <c r="F73" s="132">
        <f>(+D73-E73)/E73</f>
        <v>0.3528047888777769</v>
      </c>
      <c r="G73" s="215">
        <f>D73/C73</f>
        <v>0.22568351233651898</v>
      </c>
      <c r="H73" s="123"/>
    </row>
    <row r="74" spans="1:8" ht="15.75">
      <c r="A74" s="130"/>
      <c r="B74" s="131">
        <f>DATE(2015,8,1)</f>
        <v>42217</v>
      </c>
      <c r="C74" s="204">
        <v>11925853</v>
      </c>
      <c r="D74" s="204">
        <v>2325485</v>
      </c>
      <c r="E74" s="204">
        <v>2016444</v>
      </c>
      <c r="F74" s="132">
        <f>(+D74-E74)/E74</f>
        <v>0.15326039304835642</v>
      </c>
      <c r="G74" s="215">
        <f>D74/C74</f>
        <v>0.19499527622887855</v>
      </c>
      <c r="H74" s="123"/>
    </row>
    <row r="75" spans="1:8" ht="15.75">
      <c r="A75" s="130"/>
      <c r="B75" s="131">
        <f>DATE(2015,9,1)</f>
        <v>42248</v>
      </c>
      <c r="C75" s="204">
        <v>10882982</v>
      </c>
      <c r="D75" s="204">
        <v>2224817.5</v>
      </c>
      <c r="E75" s="204">
        <v>1741477</v>
      </c>
      <c r="F75" s="132">
        <f>(+D75-E75)/E75</f>
        <v>0.2775463012144289</v>
      </c>
      <c r="G75" s="215">
        <f>D75/C75</f>
        <v>0.204430871979757</v>
      </c>
      <c r="H75" s="123"/>
    </row>
    <row r="76" spans="1:8" ht="15.75">
      <c r="A76" s="130"/>
      <c r="B76" s="131">
        <f>DATE(2015,10,1)</f>
        <v>42278</v>
      </c>
      <c r="C76" s="204">
        <v>10481328</v>
      </c>
      <c r="D76" s="204">
        <v>1970896.5</v>
      </c>
      <c r="E76" s="204">
        <v>2135188.5</v>
      </c>
      <c r="F76" s="132">
        <f>(+D76-E76)/E76</f>
        <v>-0.07694496293886934</v>
      </c>
      <c r="G76" s="215">
        <f>D76/C76</f>
        <v>0.18803881531042632</v>
      </c>
      <c r="H76" s="123"/>
    </row>
    <row r="77" spans="1:8" ht="15.75">
      <c r="A77" s="130"/>
      <c r="B77" s="131">
        <f>DATE(2015,11,1)</f>
        <v>42309</v>
      </c>
      <c r="C77" s="204">
        <v>9921826</v>
      </c>
      <c r="D77" s="204">
        <v>2324852.5</v>
      </c>
      <c r="E77" s="204">
        <v>2079297.5</v>
      </c>
      <c r="F77" s="132">
        <f>(+D77-E77)/E77</f>
        <v>0.11809517397101665</v>
      </c>
      <c r="G77" s="215">
        <f>D77/C77</f>
        <v>0.2343169997135608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6">
        <f>SUM(C73:C78)</f>
        <v>53467448.01</v>
      </c>
      <c r="D79" s="206">
        <f>SUM(D73:D78)</f>
        <v>11160539.51</v>
      </c>
      <c r="E79" s="206">
        <f>SUM(E73:E78)</f>
        <v>9683288</v>
      </c>
      <c r="F79" s="143">
        <f>(+D79-E79)/E79</f>
        <v>0.15255680818333606</v>
      </c>
      <c r="G79" s="217">
        <f>D79/C79</f>
        <v>0.20873521975301024</v>
      </c>
      <c r="H79" s="123"/>
    </row>
    <row r="80" spans="1:8" ht="15.75" customHeight="1" thickTop="1">
      <c r="A80" s="138"/>
      <c r="B80" s="139"/>
      <c r="C80" s="205"/>
      <c r="D80" s="205"/>
      <c r="E80" s="205"/>
      <c r="F80" s="140"/>
      <c r="G80" s="216"/>
      <c r="H80" s="123"/>
    </row>
    <row r="81" spans="1:8" ht="15.75">
      <c r="A81" s="130" t="s">
        <v>58</v>
      </c>
      <c r="B81" s="131">
        <f>DATE(2015,7,1)</f>
        <v>42186</v>
      </c>
      <c r="C81" s="204">
        <v>10364978.5</v>
      </c>
      <c r="D81" s="204">
        <v>1806548.1</v>
      </c>
      <c r="E81" s="204">
        <v>1919455.5</v>
      </c>
      <c r="F81" s="132">
        <f>(+D81-E81)/E81</f>
        <v>-0.058822619227171406</v>
      </c>
      <c r="G81" s="215">
        <f>D81/C81</f>
        <v>0.17429347296764774</v>
      </c>
      <c r="H81" s="123"/>
    </row>
    <row r="82" spans="1:8" ht="15.75">
      <c r="A82" s="130"/>
      <c r="B82" s="131">
        <f>DATE(2015,8,1)</f>
        <v>42217</v>
      </c>
      <c r="C82" s="204">
        <v>10869439</v>
      </c>
      <c r="D82" s="204">
        <v>2221425.98</v>
      </c>
      <c r="E82" s="204">
        <v>1923950.5</v>
      </c>
      <c r="F82" s="132">
        <f>(+D82-E82)/E82</f>
        <v>0.15461701327554944</v>
      </c>
      <c r="G82" s="215">
        <f>D82/C82</f>
        <v>0.20437356334581758</v>
      </c>
      <c r="H82" s="123"/>
    </row>
    <row r="83" spans="1:8" ht="15.75">
      <c r="A83" s="130"/>
      <c r="B83" s="131">
        <f>DATE(2015,9,1)</f>
        <v>42248</v>
      </c>
      <c r="C83" s="204">
        <v>10687993</v>
      </c>
      <c r="D83" s="204">
        <v>1777682.35</v>
      </c>
      <c r="E83" s="204">
        <v>2150849.5</v>
      </c>
      <c r="F83" s="132">
        <f>(+D83-E83)/E83</f>
        <v>-0.17349756456693038</v>
      </c>
      <c r="G83" s="215">
        <f>D83/C83</f>
        <v>0.16632517910518843</v>
      </c>
      <c r="H83" s="123"/>
    </row>
    <row r="84" spans="1:8" ht="15.75">
      <c r="A84" s="130"/>
      <c r="B84" s="131">
        <f>DATE(2015,10,1)</f>
        <v>42278</v>
      </c>
      <c r="C84" s="204">
        <v>10719882</v>
      </c>
      <c r="D84" s="204">
        <v>2211803.04</v>
      </c>
      <c r="E84" s="204">
        <v>1663467.5</v>
      </c>
      <c r="F84" s="132">
        <f>(+D84-E84)/E84</f>
        <v>0.3296340565715892</v>
      </c>
      <c r="G84" s="215">
        <f>D84/C84</f>
        <v>0.20632718158651372</v>
      </c>
      <c r="H84" s="123"/>
    </row>
    <row r="85" spans="1:8" ht="15.75">
      <c r="A85" s="130"/>
      <c r="B85" s="131">
        <f>DATE(2015,11,1)</f>
        <v>42309</v>
      </c>
      <c r="C85" s="204">
        <v>10706643</v>
      </c>
      <c r="D85" s="204">
        <v>2406443.5</v>
      </c>
      <c r="E85" s="204">
        <v>1870760.5</v>
      </c>
      <c r="F85" s="132">
        <f>(+D85-E85)/E85</f>
        <v>0.2863450452369504</v>
      </c>
      <c r="G85" s="215">
        <f>D85/C85</f>
        <v>0.22476172036370318</v>
      </c>
      <c r="H85" s="123"/>
    </row>
    <row r="86" spans="1:8" ht="15.75" thickBot="1">
      <c r="A86" s="133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7">
        <f>SUM(C81:C86)</f>
        <v>53348935.5</v>
      </c>
      <c r="D87" s="207">
        <f>SUM(D81:D86)</f>
        <v>10423902.969999999</v>
      </c>
      <c r="E87" s="207">
        <f>SUM(E81:E86)</f>
        <v>9528483.5</v>
      </c>
      <c r="F87" s="143">
        <f>(+D87-E87)/E87</f>
        <v>0.09397292549228833</v>
      </c>
      <c r="G87" s="267">
        <f>D87/C87</f>
        <v>0.1953910208761335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9"/>
      <c r="H88" s="123"/>
    </row>
    <row r="89" spans="1:8" ht="15.75">
      <c r="A89" s="130" t="s">
        <v>59</v>
      </c>
      <c r="B89" s="131">
        <f>DATE(2015,7,1)</f>
        <v>42186</v>
      </c>
      <c r="C89" s="204">
        <v>937598</v>
      </c>
      <c r="D89" s="204">
        <v>181510</v>
      </c>
      <c r="E89" s="204">
        <v>194050.5</v>
      </c>
      <c r="F89" s="132">
        <f>(+D89-E89)/E89</f>
        <v>-0.06462493010839962</v>
      </c>
      <c r="G89" s="215">
        <f>D89/C89</f>
        <v>0.1935904300137159</v>
      </c>
      <c r="H89" s="123"/>
    </row>
    <row r="90" spans="1:8" ht="15.75">
      <c r="A90" s="130"/>
      <c r="B90" s="131">
        <f>DATE(2015,8,1)</f>
        <v>42217</v>
      </c>
      <c r="C90" s="204">
        <v>928784</v>
      </c>
      <c r="D90" s="204">
        <v>193758</v>
      </c>
      <c r="E90" s="204">
        <v>244997</v>
      </c>
      <c r="F90" s="132">
        <f>(+D90-E90)/E90</f>
        <v>-0.20914133642452765</v>
      </c>
      <c r="G90" s="215">
        <f>D90/C90</f>
        <v>0.20861470481834313</v>
      </c>
      <c r="H90" s="123"/>
    </row>
    <row r="91" spans="1:8" ht="15.75">
      <c r="A91" s="130"/>
      <c r="B91" s="131">
        <f>DATE(2015,9,1)</f>
        <v>42248</v>
      </c>
      <c r="C91" s="204">
        <v>839785</v>
      </c>
      <c r="D91" s="204">
        <v>230949</v>
      </c>
      <c r="E91" s="204">
        <v>142249.5</v>
      </c>
      <c r="F91" s="132">
        <f>(+D91-E91)/E91</f>
        <v>0.6235487646705261</v>
      </c>
      <c r="G91" s="215">
        <f>D91/C91</f>
        <v>0.2750096750954113</v>
      </c>
      <c r="H91" s="123"/>
    </row>
    <row r="92" spans="1:8" ht="15.75">
      <c r="A92" s="130"/>
      <c r="B92" s="131">
        <f>DATE(2015,10,1)</f>
        <v>42278</v>
      </c>
      <c r="C92" s="204">
        <v>826625</v>
      </c>
      <c r="D92" s="204">
        <v>214385</v>
      </c>
      <c r="E92" s="204">
        <v>203528</v>
      </c>
      <c r="F92" s="132">
        <f>(+D92-E92)/E92</f>
        <v>0.05334401163476279</v>
      </c>
      <c r="G92" s="215">
        <f>D92/C92</f>
        <v>0.2593497656131861</v>
      </c>
      <c r="H92" s="123"/>
    </row>
    <row r="93" spans="1:8" ht="15.75">
      <c r="A93" s="130"/>
      <c r="B93" s="131">
        <f>DATE(2015,11,1)</f>
        <v>42309</v>
      </c>
      <c r="C93" s="204">
        <v>910906</v>
      </c>
      <c r="D93" s="204">
        <v>248410.5</v>
      </c>
      <c r="E93" s="204">
        <v>229154.5</v>
      </c>
      <c r="F93" s="132">
        <f>(+D93-E93)/E93</f>
        <v>0.0840306430814145</v>
      </c>
      <c r="G93" s="215">
        <f>D93/C93</f>
        <v>0.27270706307785875</v>
      </c>
      <c r="H93" s="123"/>
    </row>
    <row r="94" spans="1:8" ht="15.75" thickBot="1">
      <c r="A94" s="133"/>
      <c r="B94" s="134"/>
      <c r="C94" s="204"/>
      <c r="D94" s="204"/>
      <c r="E94" s="204"/>
      <c r="F94" s="132"/>
      <c r="G94" s="215"/>
      <c r="H94" s="123"/>
    </row>
    <row r="95" spans="1:8" ht="17.25" thickBot="1" thickTop="1">
      <c r="A95" s="144" t="s">
        <v>14</v>
      </c>
      <c r="B95" s="145"/>
      <c r="C95" s="207">
        <f>SUM(C89:C94)</f>
        <v>4443698</v>
      </c>
      <c r="D95" s="207">
        <f>SUM(D89:D94)</f>
        <v>1069012.5</v>
      </c>
      <c r="E95" s="207">
        <f>SUM(E89:E94)</f>
        <v>1013979.5</v>
      </c>
      <c r="F95" s="143">
        <f>(+D95-E95)/E95</f>
        <v>0.05427427280334563</v>
      </c>
      <c r="G95" s="217">
        <f>D95/C95</f>
        <v>0.24056821593186575</v>
      </c>
      <c r="H95" s="123"/>
    </row>
    <row r="96" spans="1:8" ht="15.75" customHeight="1" thickTop="1">
      <c r="A96" s="130"/>
      <c r="B96" s="134"/>
      <c r="C96" s="204"/>
      <c r="D96" s="204"/>
      <c r="E96" s="204"/>
      <c r="F96" s="132"/>
      <c r="G96" s="218"/>
      <c r="H96" s="123"/>
    </row>
    <row r="97" spans="1:8" ht="15.75">
      <c r="A97" s="130" t="s">
        <v>40</v>
      </c>
      <c r="B97" s="131">
        <f>DATE(2015,7,1)</f>
        <v>42186</v>
      </c>
      <c r="C97" s="204">
        <v>14243703</v>
      </c>
      <c r="D97" s="204">
        <v>2871650</v>
      </c>
      <c r="E97" s="204">
        <v>2630944</v>
      </c>
      <c r="F97" s="132">
        <f>(+D97-E97)/E97</f>
        <v>0.0914903547928044</v>
      </c>
      <c r="G97" s="215">
        <f>D97/C97</f>
        <v>0.20160838793114402</v>
      </c>
      <c r="H97" s="123"/>
    </row>
    <row r="98" spans="1:8" ht="15.75">
      <c r="A98" s="130"/>
      <c r="B98" s="131">
        <f>DATE(2015,8,1)</f>
        <v>42217</v>
      </c>
      <c r="C98" s="204">
        <v>14467050</v>
      </c>
      <c r="D98" s="204">
        <v>2483226.1</v>
      </c>
      <c r="E98" s="204">
        <v>2671558</v>
      </c>
      <c r="F98" s="132">
        <f>(+D98-E98)/E98</f>
        <v>-0.07049515675871529</v>
      </c>
      <c r="G98" s="215">
        <f>D98/C98</f>
        <v>0.1716470254820437</v>
      </c>
      <c r="H98" s="123"/>
    </row>
    <row r="99" spans="1:8" ht="15.75">
      <c r="A99" s="130"/>
      <c r="B99" s="131">
        <f>DATE(2015,9,1)</f>
        <v>42248</v>
      </c>
      <c r="C99" s="204">
        <v>13218111</v>
      </c>
      <c r="D99" s="204">
        <v>2251011.1</v>
      </c>
      <c r="E99" s="204">
        <v>2695451</v>
      </c>
      <c r="F99" s="132">
        <f>(+D99-E99)/E99</f>
        <v>-0.16488517134980377</v>
      </c>
      <c r="G99" s="215">
        <f>D99/C99</f>
        <v>0.1702974880450013</v>
      </c>
      <c r="H99" s="123"/>
    </row>
    <row r="100" spans="1:8" ht="15.75">
      <c r="A100" s="130"/>
      <c r="B100" s="131">
        <f>DATE(2015,10,1)</f>
        <v>42278</v>
      </c>
      <c r="C100" s="204">
        <v>14354332</v>
      </c>
      <c r="D100" s="204">
        <v>2924385.2</v>
      </c>
      <c r="E100" s="204">
        <v>2840403</v>
      </c>
      <c r="F100" s="132">
        <f>(+D100-E100)/E100</f>
        <v>0.029567001583930233</v>
      </c>
      <c r="G100" s="215">
        <f>D100/C100</f>
        <v>0.20372840756365396</v>
      </c>
      <c r="H100" s="123"/>
    </row>
    <row r="101" spans="1:8" ht="15.75">
      <c r="A101" s="130"/>
      <c r="B101" s="131">
        <f>DATE(2015,11,1)</f>
        <v>42309</v>
      </c>
      <c r="C101" s="204">
        <v>16270075.75</v>
      </c>
      <c r="D101" s="204">
        <v>2858924.75</v>
      </c>
      <c r="E101" s="204">
        <v>2781702</v>
      </c>
      <c r="F101" s="132">
        <f>(+D101-E101)/E101</f>
        <v>0.027760971520313822</v>
      </c>
      <c r="G101" s="215">
        <f>D101/C101</f>
        <v>0.1757167448959173</v>
      </c>
      <c r="H101" s="123"/>
    </row>
    <row r="102" spans="1:8" ht="15.75" thickBot="1">
      <c r="A102" s="133"/>
      <c r="B102" s="134"/>
      <c r="C102" s="204"/>
      <c r="D102" s="204"/>
      <c r="E102" s="204"/>
      <c r="F102" s="132"/>
      <c r="G102" s="215"/>
      <c r="H102" s="123"/>
    </row>
    <row r="103" spans="1:8" ht="17.25" thickBot="1" thickTop="1">
      <c r="A103" s="141" t="s">
        <v>14</v>
      </c>
      <c r="B103" s="142"/>
      <c r="C103" s="206">
        <f>SUM(C97:C102)</f>
        <v>72553271.75</v>
      </c>
      <c r="D103" s="207">
        <f>SUM(D97:D102)</f>
        <v>13389197.149999999</v>
      </c>
      <c r="E103" s="206">
        <f>SUM(E97:E102)</f>
        <v>13620058</v>
      </c>
      <c r="F103" s="143">
        <f>(+D103-E103)/E103</f>
        <v>-0.016950063648774587</v>
      </c>
      <c r="G103" s="217">
        <f>D103/C103</f>
        <v>0.1845429823776348</v>
      </c>
      <c r="H103" s="123"/>
    </row>
    <row r="104" spans="1:8" ht="15.75" customHeight="1" thickTop="1">
      <c r="A104" s="130"/>
      <c r="B104" s="134"/>
      <c r="C104" s="204"/>
      <c r="D104" s="204"/>
      <c r="E104" s="204"/>
      <c r="F104" s="132"/>
      <c r="G104" s="218"/>
      <c r="H104" s="123"/>
    </row>
    <row r="105" spans="1:8" ht="15.75">
      <c r="A105" s="130" t="s">
        <v>64</v>
      </c>
      <c r="B105" s="131">
        <f>DATE(2015,7,1)</f>
        <v>42186</v>
      </c>
      <c r="C105" s="204">
        <v>1011302</v>
      </c>
      <c r="D105" s="204">
        <v>269248.5</v>
      </c>
      <c r="E105" s="204">
        <v>209226.5</v>
      </c>
      <c r="F105" s="132">
        <f>(+D105-E105)/E105</f>
        <v>0.2868757064712166</v>
      </c>
      <c r="G105" s="215">
        <f>D105/C105</f>
        <v>0.26623946160494094</v>
      </c>
      <c r="H105" s="123"/>
    </row>
    <row r="106" spans="1:8" ht="15.75">
      <c r="A106" s="130"/>
      <c r="B106" s="131">
        <f>DATE(2015,8,1)</f>
        <v>42217</v>
      </c>
      <c r="C106" s="204">
        <v>919958</v>
      </c>
      <c r="D106" s="204">
        <v>235920</v>
      </c>
      <c r="E106" s="204">
        <v>218501</v>
      </c>
      <c r="F106" s="132">
        <f>(+D106-E106)/E106</f>
        <v>0.07972045894526798</v>
      </c>
      <c r="G106" s="215">
        <f>D106/C106</f>
        <v>0.25644648994845415</v>
      </c>
      <c r="H106" s="123"/>
    </row>
    <row r="107" spans="1:8" ht="15.75">
      <c r="A107" s="130"/>
      <c r="B107" s="131">
        <f>DATE(2015,9,1)</f>
        <v>42248</v>
      </c>
      <c r="C107" s="204">
        <v>836836</v>
      </c>
      <c r="D107" s="204">
        <v>195216</v>
      </c>
      <c r="E107" s="204">
        <v>191716</v>
      </c>
      <c r="F107" s="132">
        <f>(+D107-E107)/E107</f>
        <v>0.01825617058565795</v>
      </c>
      <c r="G107" s="215">
        <f>D107/C107</f>
        <v>0.2332786830394486</v>
      </c>
      <c r="H107" s="123"/>
    </row>
    <row r="108" spans="1:8" ht="15.75">
      <c r="A108" s="130"/>
      <c r="B108" s="131">
        <f>DATE(2015,10,1)</f>
        <v>42278</v>
      </c>
      <c r="C108" s="204">
        <v>931644</v>
      </c>
      <c r="D108" s="204">
        <v>237963</v>
      </c>
      <c r="E108" s="204">
        <v>199376.5</v>
      </c>
      <c r="F108" s="132">
        <f>(+D108-E108)/E108</f>
        <v>0.1935358480061592</v>
      </c>
      <c r="G108" s="215">
        <f>D108/C108</f>
        <v>0.25542267217950204</v>
      </c>
      <c r="H108" s="123"/>
    </row>
    <row r="109" spans="1:8" ht="15.75">
      <c r="A109" s="130"/>
      <c r="B109" s="131">
        <f>DATE(2015,11,1)</f>
        <v>42309</v>
      </c>
      <c r="C109" s="204">
        <v>914049</v>
      </c>
      <c r="D109" s="204">
        <v>203084</v>
      </c>
      <c r="E109" s="204">
        <v>212572.5</v>
      </c>
      <c r="F109" s="132">
        <f>(+D109-E109)/E109</f>
        <v>-0.044636535770149005</v>
      </c>
      <c r="G109" s="215">
        <f>D109/C109</f>
        <v>0.22218064895864445</v>
      </c>
      <c r="H109" s="123"/>
    </row>
    <row r="110" spans="1:8" ht="15.75" thickBot="1">
      <c r="A110" s="133"/>
      <c r="B110" s="134"/>
      <c r="C110" s="204"/>
      <c r="D110" s="204"/>
      <c r="E110" s="204"/>
      <c r="F110" s="132"/>
      <c r="G110" s="215"/>
      <c r="H110" s="123"/>
    </row>
    <row r="111" spans="1:8" ht="17.25" thickBot="1" thickTop="1">
      <c r="A111" s="135" t="s">
        <v>14</v>
      </c>
      <c r="B111" s="136"/>
      <c r="C111" s="201">
        <f>SUM(C105:C110)</f>
        <v>4613789</v>
      </c>
      <c r="D111" s="207">
        <f>SUM(D105:D110)</f>
        <v>1141431.5</v>
      </c>
      <c r="E111" s="207">
        <f>SUM(E105:E110)</f>
        <v>1031392.5</v>
      </c>
      <c r="F111" s="143">
        <f>(+D111-E111)/E111</f>
        <v>0.1066897422659172</v>
      </c>
      <c r="G111" s="217">
        <f>D111/C111</f>
        <v>0.24739568714564103</v>
      </c>
      <c r="H111" s="123"/>
    </row>
    <row r="112" spans="1:8" ht="16.5" thickBot="1" thickTop="1">
      <c r="A112" s="146"/>
      <c r="B112" s="139"/>
      <c r="C112" s="205"/>
      <c r="D112" s="205"/>
      <c r="E112" s="205"/>
      <c r="F112" s="140"/>
      <c r="G112" s="216"/>
      <c r="H112" s="123"/>
    </row>
    <row r="113" spans="1:8" ht="17.25" thickBot="1" thickTop="1">
      <c r="A113" s="147" t="s">
        <v>41</v>
      </c>
      <c r="B113" s="121"/>
      <c r="C113" s="201">
        <f>C111+C103+C79+C63+C47+C31+C15+C39+C95+C23+C71+C87+C55</f>
        <v>461273328.46</v>
      </c>
      <c r="D113" s="201">
        <f>D111+D103+D79+D63+D47+D31+D15+D39+D95+D23+D71+D87+D55</f>
        <v>92591619.82</v>
      </c>
      <c r="E113" s="201">
        <f>E111+E103+E79+E63+E47+E31+E15+E39+E95+E23+E71+E87+E55</f>
        <v>88086165.37</v>
      </c>
      <c r="F113" s="137">
        <f>(+D113-E113)/E113</f>
        <v>0.05114826410112337</v>
      </c>
      <c r="G113" s="212">
        <f>D113/C113</f>
        <v>0.20073048690919318</v>
      </c>
      <c r="H113" s="123"/>
    </row>
    <row r="114" spans="1:8" ht="17.25" thickBot="1" thickTop="1">
      <c r="A114" s="147"/>
      <c r="B114" s="121"/>
      <c r="C114" s="201"/>
      <c r="D114" s="201"/>
      <c r="E114" s="201"/>
      <c r="F114" s="137"/>
      <c r="G114" s="212"/>
      <c r="H114" s="123"/>
    </row>
    <row r="115" spans="1:8" ht="17.25" thickBot="1" thickTop="1">
      <c r="A115" s="265" t="s">
        <v>42</v>
      </c>
      <c r="B115" s="266"/>
      <c r="C115" s="206">
        <f>+C13+C21+C29+C37+C45+C53+C61+C69+C77+C85+C93+C101+C109</f>
        <v>91932722.8</v>
      </c>
      <c r="D115" s="206">
        <f>+D13+D21+D29+D37+D45+D53+D61+D69+D77+D85+D93+D101+D109</f>
        <v>19039759.1</v>
      </c>
      <c r="E115" s="206">
        <f>+E13+E21+E29+E37+E45+E53+E61+E69+E77+E85+E93+E101+E109</f>
        <v>17720786.259999998</v>
      </c>
      <c r="F115" s="143">
        <f>(+D115-E115)/E115</f>
        <v>0.07443083058776218</v>
      </c>
      <c r="G115" s="217">
        <f>D115/C115</f>
        <v>0.207105354003504</v>
      </c>
      <c r="H115" s="123"/>
    </row>
    <row r="116" spans="1:8" ht="16.5" thickTop="1">
      <c r="A116" s="256"/>
      <c r="B116" s="258"/>
      <c r="C116" s="259"/>
      <c r="D116" s="259"/>
      <c r="E116" s="259"/>
      <c r="F116" s="260"/>
      <c r="G116" s="257"/>
      <c r="H116" s="257"/>
    </row>
    <row r="117" spans="1:7" ht="18.75">
      <c r="A117" s="263" t="s">
        <v>43</v>
      </c>
      <c r="B117" s="117"/>
      <c r="C117" s="208"/>
      <c r="D117" s="208"/>
      <c r="E117" s="208"/>
      <c r="F117" s="148"/>
      <c r="G117" s="220"/>
    </row>
    <row r="118" ht="15.75">
      <c r="A118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DATE(15,7,1)</f>
        <v>5661</v>
      </c>
      <c r="C10" s="226">
        <v>119529048.18</v>
      </c>
      <c r="D10" s="226">
        <v>11621705.25</v>
      </c>
      <c r="E10" s="226">
        <v>10257059.81</v>
      </c>
      <c r="F10" s="166">
        <f>(+D10-E10)/E10</f>
        <v>0.13304450449528962</v>
      </c>
      <c r="G10" s="241">
        <f>D10/C10</f>
        <v>0.0972291290440024</v>
      </c>
      <c r="H10" s="242">
        <f>1-G10</f>
        <v>0.9027708709559976</v>
      </c>
      <c r="I10" s="157"/>
    </row>
    <row r="11" spans="1:9" ht="15.75">
      <c r="A11" s="164"/>
      <c r="B11" s="165">
        <f>DATE(15,8,1)</f>
        <v>5692</v>
      </c>
      <c r="C11" s="226">
        <v>110869124.62</v>
      </c>
      <c r="D11" s="226">
        <v>10817172.85</v>
      </c>
      <c r="E11" s="226">
        <v>11078022.28</v>
      </c>
      <c r="F11" s="166">
        <f>(+D11-E11)/E11</f>
        <v>-0.023546570263803416</v>
      </c>
      <c r="G11" s="241">
        <f>D11/C11</f>
        <v>0.09756704481139791</v>
      </c>
      <c r="H11" s="242">
        <f>1-G11</f>
        <v>0.9024329551886021</v>
      </c>
      <c r="I11" s="157"/>
    </row>
    <row r="12" spans="1:9" ht="15.75">
      <c r="A12" s="164"/>
      <c r="B12" s="165">
        <f>DATE(15,9,1)</f>
        <v>5723</v>
      </c>
      <c r="C12" s="226">
        <v>109353678.58</v>
      </c>
      <c r="D12" s="226">
        <v>10632629.7</v>
      </c>
      <c r="E12" s="226">
        <v>9537974.07</v>
      </c>
      <c r="F12" s="166">
        <f>(+D12-E12)/E12</f>
        <v>0.11476814908136974</v>
      </c>
      <c r="G12" s="241">
        <f>D12/C12</f>
        <v>0.09723156859530312</v>
      </c>
      <c r="H12" s="242">
        <f>1-G12</f>
        <v>0.9027684314046969</v>
      </c>
      <c r="I12" s="157"/>
    </row>
    <row r="13" spans="1:9" ht="15.75">
      <c r="A13" s="164"/>
      <c r="B13" s="165">
        <f>DATE(15,10,1)</f>
        <v>5753</v>
      </c>
      <c r="C13" s="226">
        <v>114741480.6</v>
      </c>
      <c r="D13" s="226">
        <v>11126596.65</v>
      </c>
      <c r="E13" s="226">
        <v>10436933.78</v>
      </c>
      <c r="F13" s="166">
        <f>(+D13-E13)/E13</f>
        <v>0.06607906924939799</v>
      </c>
      <c r="G13" s="241">
        <f>D13/C13</f>
        <v>0.09697100466036693</v>
      </c>
      <c r="H13" s="242">
        <f>1-G13</f>
        <v>0.9030289953396331</v>
      </c>
      <c r="I13" s="157"/>
    </row>
    <row r="14" spans="1:9" ht="15.75">
      <c r="A14" s="164"/>
      <c r="B14" s="165">
        <f>DATE(15,11,1)</f>
        <v>5784</v>
      </c>
      <c r="C14" s="226">
        <v>106190479.7</v>
      </c>
      <c r="D14" s="226">
        <v>10298598.03</v>
      </c>
      <c r="E14" s="226">
        <v>10672606.66</v>
      </c>
      <c r="F14" s="166">
        <f>(+D14-E14)/E14</f>
        <v>-0.035043794071578836</v>
      </c>
      <c r="G14" s="241">
        <f>D14/C14</f>
        <v>0.09698231008179539</v>
      </c>
      <c r="H14" s="242">
        <f>1-G14</f>
        <v>0.9030176899182046</v>
      </c>
      <c r="I14" s="157"/>
    </row>
    <row r="15" spans="1:9" ht="15.75" thickBot="1">
      <c r="A15" s="167"/>
      <c r="B15" s="168"/>
      <c r="C15" s="226"/>
      <c r="D15" s="226"/>
      <c r="E15" s="226"/>
      <c r="F15" s="166"/>
      <c r="G15" s="241"/>
      <c r="H15" s="242"/>
      <c r="I15" s="157"/>
    </row>
    <row r="16" spans="1:9" ht="17.25" thickBot="1" thickTop="1">
      <c r="A16" s="169" t="s">
        <v>14</v>
      </c>
      <c r="B16" s="155"/>
      <c r="C16" s="223">
        <f>SUM(C10:C15)</f>
        <v>560683811.6800001</v>
      </c>
      <c r="D16" s="223">
        <f>SUM(D10:D15)</f>
        <v>54496702.480000004</v>
      </c>
      <c r="E16" s="223">
        <f>SUM(E10:E15)</f>
        <v>51982596.599999994</v>
      </c>
      <c r="F16" s="170">
        <f>(+D16-E16)/E16</f>
        <v>0.048364376626773016</v>
      </c>
      <c r="G16" s="236">
        <f>D16/C16</f>
        <v>0.09719685381446859</v>
      </c>
      <c r="H16" s="237">
        <f>1-G16</f>
        <v>0.9028031461855314</v>
      </c>
      <c r="I16" s="157"/>
    </row>
    <row r="17" spans="1:9" ht="15.7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>
      <c r="A18" s="19" t="s">
        <v>51</v>
      </c>
      <c r="B18" s="165">
        <f>DATE(15,7,1)</f>
        <v>5661</v>
      </c>
      <c r="C18" s="226">
        <v>72046869.77</v>
      </c>
      <c r="D18" s="226">
        <v>6594609.95</v>
      </c>
      <c r="E18" s="226">
        <v>6282867.11</v>
      </c>
      <c r="F18" s="166">
        <f>(+D18-E18)/E18</f>
        <v>0.0496179267430025</v>
      </c>
      <c r="G18" s="241">
        <f>D18/C18</f>
        <v>0.0915322202207037</v>
      </c>
      <c r="H18" s="242">
        <f>1-G18</f>
        <v>0.9084677797792963</v>
      </c>
      <c r="I18" s="157"/>
    </row>
    <row r="19" spans="1:9" ht="15.75">
      <c r="A19" s="19"/>
      <c r="B19" s="165">
        <f>DATE(15,8,1)</f>
        <v>5692</v>
      </c>
      <c r="C19" s="226">
        <v>68689813.83</v>
      </c>
      <c r="D19" s="226">
        <v>6431397.79</v>
      </c>
      <c r="E19" s="226">
        <v>6628156.87</v>
      </c>
      <c r="F19" s="166">
        <f>(+D19-E19)/E19</f>
        <v>-0.029685338452166126</v>
      </c>
      <c r="G19" s="241">
        <f>D19/C19</f>
        <v>0.09362957084025628</v>
      </c>
      <c r="H19" s="242">
        <f>1-G19</f>
        <v>0.9063704291597438</v>
      </c>
      <c r="I19" s="157"/>
    </row>
    <row r="20" spans="1:9" ht="15.75">
      <c r="A20" s="19"/>
      <c r="B20" s="165">
        <f>DATE(15,9,1)</f>
        <v>5723</v>
      </c>
      <c r="C20" s="226">
        <v>62321018.3</v>
      </c>
      <c r="D20" s="226">
        <v>5883042.82</v>
      </c>
      <c r="E20" s="226">
        <v>6002003.73</v>
      </c>
      <c r="F20" s="166">
        <f>(+D20-E20)/E20</f>
        <v>-0.019820199278683243</v>
      </c>
      <c r="G20" s="241">
        <f>D20/C20</f>
        <v>0.09439901626254397</v>
      </c>
      <c r="H20" s="242">
        <f>1-G20</f>
        <v>0.905600983737456</v>
      </c>
      <c r="I20" s="157"/>
    </row>
    <row r="21" spans="1:9" ht="15.75">
      <c r="A21" s="19"/>
      <c r="B21" s="165">
        <f>DATE(15,10,1)</f>
        <v>5753</v>
      </c>
      <c r="C21" s="226">
        <v>62573581.97</v>
      </c>
      <c r="D21" s="226">
        <v>6191302.27</v>
      </c>
      <c r="E21" s="226">
        <v>5911302.22</v>
      </c>
      <c r="F21" s="166">
        <f>(+D21-E21)/E21</f>
        <v>0.047366898118093484</v>
      </c>
      <c r="G21" s="241">
        <f>D21/C21</f>
        <v>0.09894434799926158</v>
      </c>
      <c r="H21" s="242">
        <f>1-G21</f>
        <v>0.9010556520007384</v>
      </c>
      <c r="I21" s="157"/>
    </row>
    <row r="22" spans="1:9" ht="15.75">
      <c r="A22" s="19"/>
      <c r="B22" s="165">
        <f>DATE(15,11,1)</f>
        <v>5784</v>
      </c>
      <c r="C22" s="226">
        <v>61132103.77</v>
      </c>
      <c r="D22" s="226">
        <v>5817798.12</v>
      </c>
      <c r="E22" s="226">
        <v>5713594.45</v>
      </c>
      <c r="F22" s="166">
        <f>(+D22-E22)/E22</f>
        <v>0.018237848505330986</v>
      </c>
      <c r="G22" s="241">
        <f>D22/C22</f>
        <v>0.09516764124278394</v>
      </c>
      <c r="H22" s="242">
        <f>1-G22</f>
        <v>0.904832358757216</v>
      </c>
      <c r="I22" s="157"/>
    </row>
    <row r="23" spans="1:9" ht="15.75" thickBot="1">
      <c r="A23" s="167"/>
      <c r="B23" s="165"/>
      <c r="C23" s="226"/>
      <c r="D23" s="226"/>
      <c r="E23" s="226"/>
      <c r="F23" s="166"/>
      <c r="G23" s="241"/>
      <c r="H23" s="242"/>
      <c r="I23" s="157"/>
    </row>
    <row r="24" spans="1:9" ht="17.25" thickBot="1" thickTop="1">
      <c r="A24" s="169" t="s">
        <v>14</v>
      </c>
      <c r="B24" s="155"/>
      <c r="C24" s="223">
        <f>SUM(C18:C23)</f>
        <v>326763387.64</v>
      </c>
      <c r="D24" s="223">
        <f>SUM(D18:D23)</f>
        <v>30918150.950000003</v>
      </c>
      <c r="E24" s="223">
        <f>SUM(E18:E23)</f>
        <v>30537924.38</v>
      </c>
      <c r="F24" s="170">
        <f>(+D24-E24)/E24</f>
        <v>0.012450963112903092</v>
      </c>
      <c r="G24" s="236">
        <f>D24/C24</f>
        <v>0.09461938552327344</v>
      </c>
      <c r="H24" s="237">
        <f>1-G24</f>
        <v>0.9053806144767266</v>
      </c>
      <c r="I24" s="157"/>
    </row>
    <row r="25" spans="1:9" ht="15.75" thickTop="1">
      <c r="A25" s="171"/>
      <c r="B25" s="172"/>
      <c r="C25" s="227"/>
      <c r="D25" s="227"/>
      <c r="E25" s="227"/>
      <c r="F25" s="173"/>
      <c r="G25" s="243"/>
      <c r="H25" s="244"/>
      <c r="I25" s="157"/>
    </row>
    <row r="26" spans="1:9" ht="15.75">
      <c r="A26" s="19" t="s">
        <v>60</v>
      </c>
      <c r="B26" s="165">
        <f>DATE(15,7,1)</f>
        <v>5661</v>
      </c>
      <c r="C26" s="226">
        <v>25487305.22</v>
      </c>
      <c r="D26" s="226">
        <v>2846303.55</v>
      </c>
      <c r="E26" s="226">
        <v>2494578.8</v>
      </c>
      <c r="F26" s="166">
        <f>(+D26-E26)/E26</f>
        <v>0.14099564623895627</v>
      </c>
      <c r="G26" s="241">
        <f>D26/C26</f>
        <v>0.11167534289841255</v>
      </c>
      <c r="H26" s="242">
        <f>1-G26</f>
        <v>0.8883246571015875</v>
      </c>
      <c r="I26" s="157"/>
    </row>
    <row r="27" spans="1:9" ht="15.75">
      <c r="A27" s="19"/>
      <c r="B27" s="165">
        <f>DATE(15,8,1)</f>
        <v>5692</v>
      </c>
      <c r="C27" s="226">
        <v>25567058.22</v>
      </c>
      <c r="D27" s="226">
        <v>2714078.62</v>
      </c>
      <c r="E27" s="226">
        <v>2704944.47</v>
      </c>
      <c r="F27" s="166">
        <f>(+D27-E27)/E27</f>
        <v>0.0033768345713950667</v>
      </c>
      <c r="G27" s="241">
        <f>D27/C27</f>
        <v>0.10615529548397142</v>
      </c>
      <c r="H27" s="242">
        <f>1-G27</f>
        <v>0.8938447045160286</v>
      </c>
      <c r="I27" s="157"/>
    </row>
    <row r="28" spans="1:9" ht="15.75">
      <c r="A28" s="19"/>
      <c r="B28" s="165">
        <f>DATE(15,9,1)</f>
        <v>5723</v>
      </c>
      <c r="C28" s="226">
        <v>24789497.76</v>
      </c>
      <c r="D28" s="226">
        <v>2695425.84</v>
      </c>
      <c r="E28" s="226">
        <v>2315066.28</v>
      </c>
      <c r="F28" s="166">
        <f>(+D28-E28)/E28</f>
        <v>0.16429748179823175</v>
      </c>
      <c r="G28" s="241">
        <f>D28/C28</f>
        <v>0.10873257159527058</v>
      </c>
      <c r="H28" s="242">
        <f>1-G28</f>
        <v>0.8912674284047294</v>
      </c>
      <c r="I28" s="157"/>
    </row>
    <row r="29" spans="1:9" ht="15.75">
      <c r="A29" s="19"/>
      <c r="B29" s="165">
        <f>DATE(15,10,1)</f>
        <v>5753</v>
      </c>
      <c r="C29" s="226">
        <v>24608249.39</v>
      </c>
      <c r="D29" s="226">
        <v>2767115.51</v>
      </c>
      <c r="E29" s="226">
        <v>2355316.74</v>
      </c>
      <c r="F29" s="166">
        <f>(+D29-E29)/E29</f>
        <v>0.17483795831213747</v>
      </c>
      <c r="G29" s="241">
        <f>D29/C29</f>
        <v>0.11244666234260721</v>
      </c>
      <c r="H29" s="242">
        <f>1-G29</f>
        <v>0.8875533376573927</v>
      </c>
      <c r="I29" s="157"/>
    </row>
    <row r="30" spans="1:9" ht="15.75">
      <c r="A30" s="19"/>
      <c r="B30" s="165">
        <f>DATE(15,11,1)</f>
        <v>5784</v>
      </c>
      <c r="C30" s="226">
        <v>23754584.45</v>
      </c>
      <c r="D30" s="226">
        <v>2518266.09</v>
      </c>
      <c r="E30" s="226">
        <v>2510185.21</v>
      </c>
      <c r="F30" s="166">
        <f>(+D30-E30)/E30</f>
        <v>0.003219236559839299</v>
      </c>
      <c r="G30" s="241">
        <f>D30/C30</f>
        <v>0.10601179302044157</v>
      </c>
      <c r="H30" s="242">
        <f>1-G30</f>
        <v>0.8939882069795584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5"/>
      <c r="C32" s="228">
        <f>SUM(C26:C31)</f>
        <v>124206695.04</v>
      </c>
      <c r="D32" s="228">
        <f>SUM(D26:D31)</f>
        <v>13541189.61</v>
      </c>
      <c r="E32" s="228">
        <f>SUM(E26:E31)</f>
        <v>12380091.5</v>
      </c>
      <c r="F32" s="176">
        <f>(+D32-E32)/E32</f>
        <v>0.09378752249125133</v>
      </c>
      <c r="G32" s="245">
        <f>D32/C32</f>
        <v>0.10902141471229987</v>
      </c>
      <c r="H32" s="246">
        <f>1-G32</f>
        <v>0.8909785852877001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77" t="s">
        <v>65</v>
      </c>
      <c r="B34" s="165">
        <f>DATE(15,7,1)</f>
        <v>5661</v>
      </c>
      <c r="C34" s="226">
        <v>188688863.95</v>
      </c>
      <c r="D34" s="226">
        <v>17969647.43</v>
      </c>
      <c r="E34" s="226">
        <v>16184356.72</v>
      </c>
      <c r="F34" s="166">
        <f>(+D34-E34)/E34</f>
        <v>0.11030964905721621</v>
      </c>
      <c r="G34" s="241">
        <f>D34/C34</f>
        <v>0.09523427643701175</v>
      </c>
      <c r="H34" s="242">
        <f>1-G34</f>
        <v>0.9047657235629882</v>
      </c>
      <c r="I34" s="157"/>
    </row>
    <row r="35" spans="1:9" ht="15.75">
      <c r="A35" s="177"/>
      <c r="B35" s="165">
        <f>DATE(15,8,1)</f>
        <v>5692</v>
      </c>
      <c r="C35" s="226">
        <v>181763351.77</v>
      </c>
      <c r="D35" s="226">
        <v>16973880.95</v>
      </c>
      <c r="E35" s="226">
        <v>16094086.53</v>
      </c>
      <c r="F35" s="166">
        <f>(+D35-E35)/E35</f>
        <v>0.05466569465499201</v>
      </c>
      <c r="G35" s="241">
        <f>D35/C35</f>
        <v>0.0933845067485245</v>
      </c>
      <c r="H35" s="242">
        <f>1-G35</f>
        <v>0.9066154932514755</v>
      </c>
      <c r="I35" s="157"/>
    </row>
    <row r="36" spans="1:9" ht="15.75">
      <c r="A36" s="177"/>
      <c r="B36" s="165">
        <f>DATE(15,9,1)</f>
        <v>5723</v>
      </c>
      <c r="C36" s="226">
        <v>161254134.72</v>
      </c>
      <c r="D36" s="226">
        <v>15291033.73</v>
      </c>
      <c r="E36" s="226">
        <v>14708506.16</v>
      </c>
      <c r="F36" s="166">
        <f>(+D36-E36)/E36</f>
        <v>0.03960480851442226</v>
      </c>
      <c r="G36" s="241">
        <f>D36/C36</f>
        <v>0.09482568466570604</v>
      </c>
      <c r="H36" s="242">
        <f>1-G36</f>
        <v>0.9051743153342939</v>
      </c>
      <c r="I36" s="157"/>
    </row>
    <row r="37" spans="1:9" ht="15.75">
      <c r="A37" s="177"/>
      <c r="B37" s="165">
        <f>DATE(15,10,1)</f>
        <v>5753</v>
      </c>
      <c r="C37" s="226">
        <v>172823474.75</v>
      </c>
      <c r="D37" s="226">
        <v>16128104.55</v>
      </c>
      <c r="E37" s="226">
        <v>15565657.96</v>
      </c>
      <c r="F37" s="166">
        <f>(+D37-E37)/E37</f>
        <v>0.0361338140312059</v>
      </c>
      <c r="G37" s="241">
        <f>D37/C37</f>
        <v>0.09332126074499032</v>
      </c>
      <c r="H37" s="242">
        <f>1-G37</f>
        <v>0.9066787392550096</v>
      </c>
      <c r="I37" s="157"/>
    </row>
    <row r="38" spans="1:9" ht="15.75">
      <c r="A38" s="177"/>
      <c r="B38" s="165">
        <f>DATE(15,11,1)</f>
        <v>5784</v>
      </c>
      <c r="C38" s="226">
        <v>159885965.49</v>
      </c>
      <c r="D38" s="226">
        <v>15205454.65</v>
      </c>
      <c r="E38" s="226">
        <v>14902890.81</v>
      </c>
      <c r="F38" s="166">
        <f>(+D38-E38)/E38</f>
        <v>0.02030235904278224</v>
      </c>
      <c r="G38" s="241">
        <f>D38/C38</f>
        <v>0.09510187215869811</v>
      </c>
      <c r="H38" s="242">
        <f>1-G38</f>
        <v>0.9048981278413019</v>
      </c>
      <c r="I38" s="157"/>
    </row>
    <row r="39" spans="1:9" ht="15.75" thickBot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7.25" thickBot="1" thickTop="1">
      <c r="A40" s="174" t="s">
        <v>14</v>
      </c>
      <c r="B40" s="178"/>
      <c r="C40" s="228">
        <f>SUM(C34:C39)</f>
        <v>864415790.6800001</v>
      </c>
      <c r="D40" s="228">
        <f>SUM(D34:D39)</f>
        <v>81568121.31</v>
      </c>
      <c r="E40" s="228">
        <f>SUM(E34:E39)</f>
        <v>77455498.17999999</v>
      </c>
      <c r="F40" s="176">
        <f>(+D40-E40)/E40</f>
        <v>0.05309659387178201</v>
      </c>
      <c r="G40" s="245">
        <f>D40/C40</f>
        <v>0.09436213705193162</v>
      </c>
      <c r="H40" s="246">
        <f>1-G40</f>
        <v>0.9056378629480684</v>
      </c>
      <c r="I40" s="157"/>
    </row>
    <row r="41" spans="1:9" ht="15.75" thickTop="1">
      <c r="A41" s="167"/>
      <c r="B41" s="168"/>
      <c r="C41" s="226"/>
      <c r="D41" s="226"/>
      <c r="E41" s="226"/>
      <c r="F41" s="166"/>
      <c r="G41" s="241"/>
      <c r="H41" s="242"/>
      <c r="I41" s="157"/>
    </row>
    <row r="42" spans="1:9" ht="15.75">
      <c r="A42" s="164" t="s">
        <v>16</v>
      </c>
      <c r="B42" s="165">
        <f>DATE(15,7,1)</f>
        <v>5661</v>
      </c>
      <c r="C42" s="226">
        <v>120489743.99</v>
      </c>
      <c r="D42" s="226">
        <v>11588290.74</v>
      </c>
      <c r="E42" s="226">
        <v>11317531.22</v>
      </c>
      <c r="F42" s="166">
        <f>(+D42-E42)/E42</f>
        <v>0.023923903078926036</v>
      </c>
      <c r="G42" s="241">
        <f>D42/C42</f>
        <v>0.09617657367553015</v>
      </c>
      <c r="H42" s="242">
        <f>1-G42</f>
        <v>0.9038234263244699</v>
      </c>
      <c r="I42" s="157"/>
    </row>
    <row r="43" spans="1:9" ht="15.75">
      <c r="A43" s="164"/>
      <c r="B43" s="165">
        <f>DATE(15,8,1)</f>
        <v>5692</v>
      </c>
      <c r="C43" s="226">
        <v>114211300.63</v>
      </c>
      <c r="D43" s="226">
        <v>10887415.83</v>
      </c>
      <c r="E43" s="226">
        <v>12087387.41</v>
      </c>
      <c r="F43" s="166">
        <f>(+D43-E43)/E43</f>
        <v>-0.09927468519849486</v>
      </c>
      <c r="G43" s="241">
        <f>D43/C43</f>
        <v>0.09532695775237666</v>
      </c>
      <c r="H43" s="242">
        <f>1-G43</f>
        <v>0.9046730422476233</v>
      </c>
      <c r="I43" s="157"/>
    </row>
    <row r="44" spans="1:9" ht="15.75">
      <c r="A44" s="164"/>
      <c r="B44" s="165">
        <f>DATE(15,9,1)</f>
        <v>5723</v>
      </c>
      <c r="C44" s="226">
        <v>109653488.1</v>
      </c>
      <c r="D44" s="226">
        <v>10449419.97</v>
      </c>
      <c r="E44" s="226">
        <v>11134793.77</v>
      </c>
      <c r="F44" s="166">
        <f>(+D44-E44)/E44</f>
        <v>-0.06155244669610068</v>
      </c>
      <c r="G44" s="241">
        <f>D44/C44</f>
        <v>0.09529491629550817</v>
      </c>
      <c r="H44" s="242">
        <f>1-G44</f>
        <v>0.9047050837044919</v>
      </c>
      <c r="I44" s="157"/>
    </row>
    <row r="45" spans="1:9" ht="15.75">
      <c r="A45" s="164"/>
      <c r="B45" s="165">
        <f>DATE(15,10,1)</f>
        <v>5753</v>
      </c>
      <c r="C45" s="226">
        <v>124278726.06</v>
      </c>
      <c r="D45" s="226">
        <v>11800330.51</v>
      </c>
      <c r="E45" s="226">
        <v>11239699.89</v>
      </c>
      <c r="F45" s="166">
        <f>(+D45-E45)/E45</f>
        <v>0.04987950083069337</v>
      </c>
      <c r="G45" s="241">
        <f>D45/C45</f>
        <v>0.09495052680458736</v>
      </c>
      <c r="H45" s="242">
        <f>1-G45</f>
        <v>0.9050494731954126</v>
      </c>
      <c r="I45" s="157"/>
    </row>
    <row r="46" spans="1:9" ht="15.75">
      <c r="A46" s="164"/>
      <c r="B46" s="165">
        <f>DATE(15,11,1)</f>
        <v>5784</v>
      </c>
      <c r="C46" s="226">
        <v>108004144.39</v>
      </c>
      <c r="D46" s="226">
        <v>10082963.93</v>
      </c>
      <c r="E46" s="226">
        <v>10996815.12</v>
      </c>
      <c r="F46" s="166">
        <f>(+D46-E46)/E46</f>
        <v>-0.08310144164722481</v>
      </c>
      <c r="G46" s="241">
        <f>D46/C46</f>
        <v>0.09335719464237126</v>
      </c>
      <c r="H46" s="242">
        <f>1-G46</f>
        <v>0.9066428053576288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SUM(C42:C47)</f>
        <v>576637403.1700001</v>
      </c>
      <c r="D48" s="230">
        <f>SUM(D42:D47)</f>
        <v>54808420.98</v>
      </c>
      <c r="E48" s="271">
        <f>SUM(E42:E47)</f>
        <v>56776227.410000004</v>
      </c>
      <c r="F48" s="272">
        <f>(+D48-E48)/E48</f>
        <v>-0.034658985278994026</v>
      </c>
      <c r="G48" s="249">
        <f>D48/C48</f>
        <v>0.09504832790709862</v>
      </c>
      <c r="H48" s="270">
        <f>1-G48</f>
        <v>0.9049516720929014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66</v>
      </c>
      <c r="B50" s="165">
        <f>DATE(15,7,1)</f>
        <v>5661</v>
      </c>
      <c r="C50" s="226">
        <v>48352097.83</v>
      </c>
      <c r="D50" s="226">
        <v>4898478.28</v>
      </c>
      <c r="E50" s="226">
        <v>4629796.15</v>
      </c>
      <c r="F50" s="166">
        <f>(+D50-E50)/E50</f>
        <v>0.058033252716752956</v>
      </c>
      <c r="G50" s="241">
        <f>D50/C50</f>
        <v>0.10130849538777913</v>
      </c>
      <c r="H50" s="242">
        <f>1-G50</f>
        <v>0.8986915046122209</v>
      </c>
      <c r="I50" s="157"/>
    </row>
    <row r="51" spans="1:9" ht="15.75">
      <c r="A51" s="164"/>
      <c r="B51" s="165">
        <f>DATE(15,8,1)</f>
        <v>5692</v>
      </c>
      <c r="C51" s="226">
        <v>48319229.49</v>
      </c>
      <c r="D51" s="226">
        <v>4722095.17</v>
      </c>
      <c r="E51" s="226">
        <v>5028824.28</v>
      </c>
      <c r="F51" s="166">
        <f>(+D51-E51)/E51</f>
        <v>-0.06099419922463473</v>
      </c>
      <c r="G51" s="241">
        <f>D51/C51</f>
        <v>0.097727037865479</v>
      </c>
      <c r="H51" s="242">
        <f>1-G51</f>
        <v>0.902272962134521</v>
      </c>
      <c r="I51" s="157"/>
    </row>
    <row r="52" spans="1:9" ht="15.75">
      <c r="A52" s="164"/>
      <c r="B52" s="165">
        <f>DATE(15,9,1)</f>
        <v>5723</v>
      </c>
      <c r="C52" s="226">
        <v>45505726.4</v>
      </c>
      <c r="D52" s="226">
        <v>4560800.26</v>
      </c>
      <c r="E52" s="226">
        <v>4179634.68</v>
      </c>
      <c r="F52" s="166">
        <f>(+D52-E52)/E52</f>
        <v>0.09119590805960094</v>
      </c>
      <c r="G52" s="241">
        <f>D52/C52</f>
        <v>0.10022475457066872</v>
      </c>
      <c r="H52" s="242">
        <f>1-G52</f>
        <v>0.8997752454293313</v>
      </c>
      <c r="I52" s="157"/>
    </row>
    <row r="53" spans="1:9" ht="15.75">
      <c r="A53" s="164"/>
      <c r="B53" s="165">
        <f>DATE(15,10,1)</f>
        <v>5753</v>
      </c>
      <c r="C53" s="226">
        <v>44542526.96</v>
      </c>
      <c r="D53" s="226">
        <v>4692084.33</v>
      </c>
      <c r="E53" s="226">
        <v>4484784.1</v>
      </c>
      <c r="F53" s="166">
        <f>(+D53-E53)/E53</f>
        <v>0.0462230121623916</v>
      </c>
      <c r="G53" s="241">
        <f>D53/C53</f>
        <v>0.10533942841216838</v>
      </c>
      <c r="H53" s="242">
        <f>1-G53</f>
        <v>0.8946605715878316</v>
      </c>
      <c r="I53" s="157"/>
    </row>
    <row r="54" spans="1:9" ht="15.75">
      <c r="A54" s="164"/>
      <c r="B54" s="165">
        <f>DATE(15,11,1)</f>
        <v>5784</v>
      </c>
      <c r="C54" s="226">
        <v>45172662.67</v>
      </c>
      <c r="D54" s="226">
        <v>4220368.34</v>
      </c>
      <c r="E54" s="226">
        <v>4434332.43</v>
      </c>
      <c r="F54" s="166">
        <f>(+D54-E54)/E54</f>
        <v>-0.048251702680757264</v>
      </c>
      <c r="G54" s="241">
        <f>D54/C54</f>
        <v>0.09342748668217922</v>
      </c>
      <c r="H54" s="242">
        <f>1-G54</f>
        <v>0.9065725133178207</v>
      </c>
      <c r="I54" s="157"/>
    </row>
    <row r="55" spans="1:9" ht="15.7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SUM(C50:C55)</f>
        <v>231892243.35000002</v>
      </c>
      <c r="D56" s="230">
        <f>SUM(D50:D55)</f>
        <v>23093826.38</v>
      </c>
      <c r="E56" s="271">
        <f>SUM(E50:E55)</f>
        <v>22757371.64</v>
      </c>
      <c r="F56" s="272">
        <f>(+D56-E56)/E56</f>
        <v>0.014784428769824245</v>
      </c>
      <c r="G56" s="249">
        <f>D56/C56</f>
        <v>0.09958861084087225</v>
      </c>
      <c r="H56" s="270">
        <f>1-G56</f>
        <v>0.9004113891591278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17</v>
      </c>
      <c r="B58" s="165">
        <f>DATE(15,7,1)</f>
        <v>5661</v>
      </c>
      <c r="C58" s="226">
        <v>58939783.88</v>
      </c>
      <c r="D58" s="226">
        <v>6466668.75</v>
      </c>
      <c r="E58" s="226">
        <v>6042752.33</v>
      </c>
      <c r="F58" s="166">
        <f>(+D58-E58)/E58</f>
        <v>0.07015287022362539</v>
      </c>
      <c r="G58" s="241">
        <f>D58/C58</f>
        <v>0.10971653311735896</v>
      </c>
      <c r="H58" s="242">
        <f>1-G58</f>
        <v>0.890283466882641</v>
      </c>
      <c r="I58" s="157"/>
    </row>
    <row r="59" spans="1:9" ht="15.75">
      <c r="A59" s="164"/>
      <c r="B59" s="165">
        <f>DATE(15,8,1)</f>
        <v>5692</v>
      </c>
      <c r="C59" s="226">
        <v>53237340.58</v>
      </c>
      <c r="D59" s="226">
        <v>6052086.67</v>
      </c>
      <c r="E59" s="226">
        <v>6053208.76</v>
      </c>
      <c r="F59" s="166">
        <f>(+D59-E59)/E59</f>
        <v>-0.00018537110555556837</v>
      </c>
      <c r="G59" s="241">
        <f>D59/C59</f>
        <v>0.11368123584057511</v>
      </c>
      <c r="H59" s="242">
        <f>1-G59</f>
        <v>0.8863187641594249</v>
      </c>
      <c r="I59" s="157"/>
    </row>
    <row r="60" spans="1:9" ht="15.75">
      <c r="A60" s="164"/>
      <c r="B60" s="165">
        <f>DATE(15,9,1)</f>
        <v>5723</v>
      </c>
      <c r="C60" s="226">
        <v>50090480.17</v>
      </c>
      <c r="D60" s="226">
        <v>5516436.27</v>
      </c>
      <c r="E60" s="226">
        <v>5550911.7</v>
      </c>
      <c r="F60" s="166">
        <f>(+D60-E60)/E60</f>
        <v>-0.0062107689444962045</v>
      </c>
      <c r="G60" s="241">
        <f>D60/C60</f>
        <v>0.1101294348003452</v>
      </c>
      <c r="H60" s="242">
        <f>1-G60</f>
        <v>0.8898705651996548</v>
      </c>
      <c r="I60" s="157"/>
    </row>
    <row r="61" spans="1:9" ht="15.75">
      <c r="A61" s="164"/>
      <c r="B61" s="165">
        <f>DATE(15,10,1)</f>
        <v>5753</v>
      </c>
      <c r="C61" s="226">
        <v>51893356.63</v>
      </c>
      <c r="D61" s="226">
        <v>5721215.5</v>
      </c>
      <c r="E61" s="226">
        <v>5944105.8</v>
      </c>
      <c r="F61" s="166">
        <f>(+D61-E61)/E61</f>
        <v>-0.03749770066340337</v>
      </c>
      <c r="G61" s="241">
        <f>D61/C61</f>
        <v>0.11024947838299046</v>
      </c>
      <c r="H61" s="242">
        <f>1-G61</f>
        <v>0.8897505216170095</v>
      </c>
      <c r="I61" s="157"/>
    </row>
    <row r="62" spans="1:9" ht="15.75">
      <c r="A62" s="164"/>
      <c r="B62" s="165">
        <f>DATE(15,11,1)</f>
        <v>5784</v>
      </c>
      <c r="C62" s="226">
        <v>48754824.93</v>
      </c>
      <c r="D62" s="226">
        <v>5676052.34</v>
      </c>
      <c r="E62" s="226">
        <v>5844944.52</v>
      </c>
      <c r="F62" s="166">
        <f>(+D62-E62)/E62</f>
        <v>-0.0288954291049455</v>
      </c>
      <c r="G62" s="241">
        <f>D62/C62</f>
        <v>0.1164203204123781</v>
      </c>
      <c r="H62" s="242">
        <f>1-G62</f>
        <v>0.8835796795876218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SUM(C58:C63)</f>
        <v>262915786.19</v>
      </c>
      <c r="D64" s="230">
        <f>SUM(D58:D63)</f>
        <v>29432459.529999997</v>
      </c>
      <c r="E64" s="271">
        <f>SUM(E58:E63)</f>
        <v>29435923.11</v>
      </c>
      <c r="F64" s="272">
        <f>(+D64-E64)/E64</f>
        <v>-0.00011766507158816727</v>
      </c>
      <c r="G64" s="249">
        <f>D64/C64</f>
        <v>0.11194633824204908</v>
      </c>
      <c r="H64" s="270">
        <f>1-G64</f>
        <v>0.8880536617579509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68</v>
      </c>
      <c r="B66" s="165">
        <f>DATE(15,7,1)</f>
        <v>5661</v>
      </c>
      <c r="C66" s="226">
        <v>99262509.49</v>
      </c>
      <c r="D66" s="226">
        <v>8907974.58</v>
      </c>
      <c r="E66" s="226">
        <v>9639064.75</v>
      </c>
      <c r="F66" s="166">
        <f>(+D66-E66)/E66</f>
        <v>-0.07584658770966342</v>
      </c>
      <c r="G66" s="241">
        <f>D66/C66</f>
        <v>0.0897415814466933</v>
      </c>
      <c r="H66" s="242">
        <f>1-G66</f>
        <v>0.9102584185533067</v>
      </c>
      <c r="I66" s="157"/>
    </row>
    <row r="67" spans="1:9" ht="15.75">
      <c r="A67" s="164"/>
      <c r="B67" s="165">
        <f>DATE(15,8,1)</f>
        <v>5692</v>
      </c>
      <c r="C67" s="226">
        <v>90824537.94</v>
      </c>
      <c r="D67" s="226">
        <v>8711749.16</v>
      </c>
      <c r="E67" s="226">
        <v>10229616.31</v>
      </c>
      <c r="F67" s="166">
        <f>(+D67-E67)/E67</f>
        <v>-0.14837967564005344</v>
      </c>
      <c r="G67" s="241">
        <f>D67/C67</f>
        <v>0.0959184528497696</v>
      </c>
      <c r="H67" s="242">
        <f>1-G67</f>
        <v>0.9040815471502304</v>
      </c>
      <c r="I67" s="157"/>
    </row>
    <row r="68" spans="1:9" ht="15.75">
      <c r="A68" s="164"/>
      <c r="B68" s="165">
        <f>DATE(15,9,1)</f>
        <v>5723</v>
      </c>
      <c r="C68" s="226">
        <v>99718269.5</v>
      </c>
      <c r="D68" s="226">
        <v>9830409.27</v>
      </c>
      <c r="E68" s="226">
        <v>9028912.84</v>
      </c>
      <c r="F68" s="166">
        <f>(+D68-E68)/E68</f>
        <v>0.08876998196828309</v>
      </c>
      <c r="G68" s="241">
        <f>D68/C68</f>
        <v>0.09858182777630331</v>
      </c>
      <c r="H68" s="242">
        <f>1-G68</f>
        <v>0.9014181722236967</v>
      </c>
      <c r="I68" s="157"/>
    </row>
    <row r="69" spans="1:9" ht="15.75">
      <c r="A69" s="164"/>
      <c r="B69" s="165">
        <f>DATE(15,10,1)</f>
        <v>5753</v>
      </c>
      <c r="C69" s="226">
        <v>97189498.88</v>
      </c>
      <c r="D69" s="226">
        <v>9686593.04</v>
      </c>
      <c r="E69" s="226">
        <v>9235960.54</v>
      </c>
      <c r="F69" s="166">
        <f>(+D69-E69)/E69</f>
        <v>0.048791081127767574</v>
      </c>
      <c r="G69" s="241">
        <f>D69/C69</f>
        <v>0.09966707464928952</v>
      </c>
      <c r="H69" s="242">
        <f>1-G69</f>
        <v>0.9003329253507105</v>
      </c>
      <c r="I69" s="157"/>
    </row>
    <row r="70" spans="1:9" ht="15.75">
      <c r="A70" s="164"/>
      <c r="B70" s="165">
        <f>DATE(15,11,1)</f>
        <v>5784</v>
      </c>
      <c r="C70" s="226">
        <v>84688702.34</v>
      </c>
      <c r="D70" s="226">
        <v>8407805.94</v>
      </c>
      <c r="E70" s="226">
        <v>8289760.87</v>
      </c>
      <c r="F70" s="166">
        <f>(+D70-E70)/E70</f>
        <v>0.01423986431589303</v>
      </c>
      <c r="G70" s="241">
        <f>D70/C70</f>
        <v>0.09927895584283668</v>
      </c>
      <c r="H70" s="242">
        <f>1-G70</f>
        <v>0.9007210441571634</v>
      </c>
      <c r="I70" s="157"/>
    </row>
    <row r="71" spans="1:9" ht="15.75" thickBot="1">
      <c r="A71" s="167"/>
      <c r="B71" s="165"/>
      <c r="C71" s="226"/>
      <c r="D71" s="226"/>
      <c r="E71" s="226"/>
      <c r="F71" s="166"/>
      <c r="G71" s="241"/>
      <c r="H71" s="242"/>
      <c r="I71" s="157"/>
    </row>
    <row r="72" spans="1:9" ht="17.25" thickBot="1" thickTop="1">
      <c r="A72" s="174" t="s">
        <v>14</v>
      </c>
      <c r="B72" s="175"/>
      <c r="C72" s="228">
        <f>SUM(C66:C71)</f>
        <v>471683518.15</v>
      </c>
      <c r="D72" s="230">
        <f>SUM(D66:D71)</f>
        <v>45544531.989999995</v>
      </c>
      <c r="E72" s="271">
        <f>SUM(E66:E71)</f>
        <v>46423315.309999995</v>
      </c>
      <c r="F72" s="176">
        <f>(+D72-E72)/E72</f>
        <v>-0.018929783754817325</v>
      </c>
      <c r="G72" s="249">
        <f>D72/C72</f>
        <v>0.09655739545157561</v>
      </c>
      <c r="H72" s="270">
        <f>1-G72</f>
        <v>0.9034426045484244</v>
      </c>
      <c r="I72" s="157"/>
    </row>
    <row r="73" spans="1:9" ht="15.75" thickTop="1">
      <c r="A73" s="167"/>
      <c r="B73" s="179"/>
      <c r="C73" s="229"/>
      <c r="D73" s="229"/>
      <c r="E73" s="229"/>
      <c r="F73" s="180"/>
      <c r="G73" s="247"/>
      <c r="H73" s="248"/>
      <c r="I73" s="157"/>
    </row>
    <row r="74" spans="1:9" ht="15.75">
      <c r="A74" s="164" t="s">
        <v>18</v>
      </c>
      <c r="B74" s="165">
        <f>DATE(15,7,1)</f>
        <v>5661</v>
      </c>
      <c r="C74" s="226">
        <v>160408761.56</v>
      </c>
      <c r="D74" s="226">
        <v>14747580.1</v>
      </c>
      <c r="E74" s="226">
        <v>15576345.16</v>
      </c>
      <c r="F74" s="166">
        <f>(+D74-E74)/E74</f>
        <v>-0.05320664452969791</v>
      </c>
      <c r="G74" s="241">
        <f>D74/C74</f>
        <v>0.09193749740710859</v>
      </c>
      <c r="H74" s="242">
        <f>1-G74</f>
        <v>0.9080625025928915</v>
      </c>
      <c r="I74" s="157"/>
    </row>
    <row r="75" spans="1:9" ht="15.75">
      <c r="A75" s="164"/>
      <c r="B75" s="165">
        <f>DATE(15,8,1)</f>
        <v>5692</v>
      </c>
      <c r="C75" s="226">
        <v>162276060.61</v>
      </c>
      <c r="D75" s="226">
        <v>14875834.11</v>
      </c>
      <c r="E75" s="226">
        <v>15506824.22</v>
      </c>
      <c r="F75" s="166">
        <f>(+D75-E75)/E75</f>
        <v>-0.04069112418171213</v>
      </c>
      <c r="G75" s="241">
        <f>D75/C75</f>
        <v>0.09166992379579184</v>
      </c>
      <c r="H75" s="242">
        <f>1-G75</f>
        <v>0.9083300762042081</v>
      </c>
      <c r="I75" s="157"/>
    </row>
    <row r="76" spans="1:9" ht="15.75">
      <c r="A76" s="164"/>
      <c r="B76" s="165">
        <f>DATE(15,9,1)</f>
        <v>5723</v>
      </c>
      <c r="C76" s="226">
        <v>149694908.04</v>
      </c>
      <c r="D76" s="226">
        <v>13845452.77</v>
      </c>
      <c r="E76" s="226">
        <v>12960092.39</v>
      </c>
      <c r="F76" s="166">
        <f>(+D76-E76)/E76</f>
        <v>0.06831435713244934</v>
      </c>
      <c r="G76" s="241">
        <f>D76/C76</f>
        <v>0.09249114048889595</v>
      </c>
      <c r="H76" s="242">
        <f>1-G76</f>
        <v>0.907508859511104</v>
      </c>
      <c r="I76" s="157"/>
    </row>
    <row r="77" spans="1:9" ht="15.75">
      <c r="A77" s="164"/>
      <c r="B77" s="165">
        <f>DATE(15,10,1)</f>
        <v>5753</v>
      </c>
      <c r="C77" s="226">
        <v>155456920.78</v>
      </c>
      <c r="D77" s="226">
        <v>13974369.84</v>
      </c>
      <c r="E77" s="226">
        <v>13690052.84</v>
      </c>
      <c r="F77" s="166">
        <f>(+D77-E77)/E77</f>
        <v>0.020768144821857387</v>
      </c>
      <c r="G77" s="241">
        <f>D77/C77</f>
        <v>0.08989223361613016</v>
      </c>
      <c r="H77" s="242">
        <f>1-G77</f>
        <v>0.9101077663838698</v>
      </c>
      <c r="I77" s="157"/>
    </row>
    <row r="78" spans="1:9" ht="15.75">
      <c r="A78" s="164"/>
      <c r="B78" s="165">
        <f>DATE(15,11,1)</f>
        <v>5784</v>
      </c>
      <c r="C78" s="226">
        <v>146221384.01</v>
      </c>
      <c r="D78" s="226">
        <v>13139935.22</v>
      </c>
      <c r="E78" s="226">
        <v>12590815.7</v>
      </c>
      <c r="F78" s="166">
        <f>(+D78-E78)/E78</f>
        <v>0.043612704139573855</v>
      </c>
      <c r="G78" s="241">
        <f>D78/C78</f>
        <v>0.08986329399741812</v>
      </c>
      <c r="H78" s="242">
        <f>1-G78</f>
        <v>0.9101367060025819</v>
      </c>
      <c r="I78" s="157"/>
    </row>
    <row r="79" spans="1:9" ht="15.75" customHeight="1" thickBot="1">
      <c r="A79" s="164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81"/>
      <c r="C80" s="228">
        <f>SUM(C74:C79)</f>
        <v>774058035</v>
      </c>
      <c r="D80" s="228">
        <f>SUM(D74:D79)</f>
        <v>70583172.04</v>
      </c>
      <c r="E80" s="228">
        <f>SUM(E74:E79)</f>
        <v>70324130.31</v>
      </c>
      <c r="F80" s="176">
        <f>(+D80-E80)/E80</f>
        <v>0.003683539758801237</v>
      </c>
      <c r="G80" s="245">
        <f>D80/C80</f>
        <v>0.09118589155915165</v>
      </c>
      <c r="H80" s="246">
        <f>1-G80</f>
        <v>0.9088141084408483</v>
      </c>
      <c r="I80" s="157"/>
    </row>
    <row r="81" spans="1:9" ht="15.75" thickTop="1">
      <c r="A81" s="171"/>
      <c r="B81" s="172"/>
      <c r="C81" s="227"/>
      <c r="D81" s="227"/>
      <c r="E81" s="227"/>
      <c r="F81" s="173"/>
      <c r="G81" s="243"/>
      <c r="H81" s="244"/>
      <c r="I81" s="157"/>
    </row>
    <row r="82" spans="1:9" ht="15.75">
      <c r="A82" s="164" t="s">
        <v>58</v>
      </c>
      <c r="B82" s="165">
        <f>DATE(15,7,1)</f>
        <v>5661</v>
      </c>
      <c r="C82" s="226">
        <v>182387045.35</v>
      </c>
      <c r="D82" s="226">
        <v>16357063.57</v>
      </c>
      <c r="E82" s="226">
        <v>15819821.05</v>
      </c>
      <c r="F82" s="166">
        <f>(+D82-E82)/E82</f>
        <v>0.03396008831591679</v>
      </c>
      <c r="G82" s="241">
        <f>D82/C82</f>
        <v>0.08968325320809305</v>
      </c>
      <c r="H82" s="242">
        <f>1-G82</f>
        <v>0.910316746791907</v>
      </c>
      <c r="I82" s="157"/>
    </row>
    <row r="83" spans="1:9" ht="15.75">
      <c r="A83" s="164"/>
      <c r="B83" s="165">
        <f>DATE(15,8,1)</f>
        <v>5692</v>
      </c>
      <c r="C83" s="226">
        <v>188147645.95</v>
      </c>
      <c r="D83" s="226">
        <v>16828875.81</v>
      </c>
      <c r="E83" s="226">
        <v>17009683.77</v>
      </c>
      <c r="F83" s="166">
        <f>(+D83-E83)/E83</f>
        <v>-0.010629707315246631</v>
      </c>
      <c r="G83" s="241">
        <f>D83/C83</f>
        <v>0.08944505111943975</v>
      </c>
      <c r="H83" s="242">
        <f>1-G83</f>
        <v>0.9105549488805602</v>
      </c>
      <c r="I83" s="157"/>
    </row>
    <row r="84" spans="1:9" ht="15.75">
      <c r="A84" s="164"/>
      <c r="B84" s="165">
        <f>DATE(15,9,1)</f>
        <v>5723</v>
      </c>
      <c r="C84" s="226">
        <v>174524929.56</v>
      </c>
      <c r="D84" s="226">
        <v>15428730.82</v>
      </c>
      <c r="E84" s="226">
        <v>14534184.86</v>
      </c>
      <c r="F84" s="166">
        <f>(+D84-E84)/E84</f>
        <v>0.06154772136288907</v>
      </c>
      <c r="G84" s="241">
        <f>D84/C84</f>
        <v>0.08840416586270988</v>
      </c>
      <c r="H84" s="242">
        <f>1-G84</f>
        <v>0.9115958341372901</v>
      </c>
      <c r="I84" s="157"/>
    </row>
    <row r="85" spans="1:9" ht="15.75">
      <c r="A85" s="164"/>
      <c r="B85" s="165">
        <f>DATE(15,10,1)</f>
        <v>5753</v>
      </c>
      <c r="C85" s="226">
        <v>191173360.2</v>
      </c>
      <c r="D85" s="226">
        <v>17395367.65</v>
      </c>
      <c r="E85" s="226">
        <v>15429362.82</v>
      </c>
      <c r="F85" s="166">
        <f>(+D85-E85)/E85</f>
        <v>0.1274197031293868</v>
      </c>
      <c r="G85" s="241">
        <f>D85/C85</f>
        <v>0.09099263428650034</v>
      </c>
      <c r="H85" s="242">
        <f>1-G85</f>
        <v>0.9090073657134996</v>
      </c>
      <c r="I85" s="157"/>
    </row>
    <row r="86" spans="1:9" ht="15.75">
      <c r="A86" s="164"/>
      <c r="B86" s="165">
        <f>DATE(15,11,1)</f>
        <v>5784</v>
      </c>
      <c r="C86" s="226">
        <v>176304585.53</v>
      </c>
      <c r="D86" s="226">
        <v>15902571.78</v>
      </c>
      <c r="E86" s="226">
        <v>15452261.49</v>
      </c>
      <c r="F86" s="166">
        <f>(+D86-E86)/E86</f>
        <v>0.029142031429601385</v>
      </c>
      <c r="G86" s="241">
        <f>D86/C86</f>
        <v>0.0901994223927546</v>
      </c>
      <c r="H86" s="242">
        <f>1-G86</f>
        <v>0.9098005776072454</v>
      </c>
      <c r="I86" s="157"/>
    </row>
    <row r="87" spans="1:9" ht="15.75" thickBot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SUM(C82:C87)</f>
        <v>912537566.5899999</v>
      </c>
      <c r="D88" s="228">
        <f>SUM(D82:D87)</f>
        <v>81912609.63</v>
      </c>
      <c r="E88" s="228">
        <f>SUM(E82:E87)</f>
        <v>78245313.99</v>
      </c>
      <c r="F88" s="176">
        <f>(+D88-E88)/E88</f>
        <v>0.04686920472283737</v>
      </c>
      <c r="G88" s="249">
        <f>D88/C88</f>
        <v>0.08976354796668119</v>
      </c>
      <c r="H88" s="270">
        <f>1-G88</f>
        <v>0.9102364520333188</v>
      </c>
      <c r="I88" s="157"/>
    </row>
    <row r="89" spans="1:9" ht="15.75" thickTop="1">
      <c r="A89" s="167"/>
      <c r="B89" s="168"/>
      <c r="C89" s="226"/>
      <c r="D89" s="226"/>
      <c r="E89" s="226"/>
      <c r="F89" s="166"/>
      <c r="G89" s="241"/>
      <c r="H89" s="242"/>
      <c r="I89" s="157"/>
    </row>
    <row r="90" spans="1:9" ht="15.75">
      <c r="A90" s="164" t="s">
        <v>59</v>
      </c>
      <c r="B90" s="165">
        <f>DATE(15,7,1)</f>
        <v>5661</v>
      </c>
      <c r="C90" s="226">
        <v>31589262.83</v>
      </c>
      <c r="D90" s="226">
        <v>2939417.51</v>
      </c>
      <c r="E90" s="226">
        <v>2839788.24</v>
      </c>
      <c r="F90" s="166">
        <f>(+D90-E90)/E90</f>
        <v>0.0350833448060196</v>
      </c>
      <c r="G90" s="241">
        <f>D90/C90</f>
        <v>0.09305115873766023</v>
      </c>
      <c r="H90" s="242">
        <f>1-G90</f>
        <v>0.9069488412623398</v>
      </c>
      <c r="I90" s="157"/>
    </row>
    <row r="91" spans="1:9" ht="15.75">
      <c r="A91" s="164"/>
      <c r="B91" s="165">
        <f>DATE(15,8,1)</f>
        <v>5692</v>
      </c>
      <c r="C91" s="226">
        <v>30903668.58</v>
      </c>
      <c r="D91" s="226">
        <v>2846158.11</v>
      </c>
      <c r="E91" s="226">
        <v>3005400.13</v>
      </c>
      <c r="F91" s="166">
        <f>(+D91-E91)/E91</f>
        <v>-0.05298529750180054</v>
      </c>
      <c r="G91" s="241">
        <f>D91/C91</f>
        <v>0.09209774246161684</v>
      </c>
      <c r="H91" s="242">
        <f>1-G91</f>
        <v>0.9079022575383832</v>
      </c>
      <c r="I91" s="157"/>
    </row>
    <row r="92" spans="1:9" ht="15.75">
      <c r="A92" s="164"/>
      <c r="B92" s="165">
        <f>DATE(15,9,1)</f>
        <v>5723</v>
      </c>
      <c r="C92" s="226">
        <v>29148135.53</v>
      </c>
      <c r="D92" s="226">
        <v>2728326.6</v>
      </c>
      <c r="E92" s="226">
        <v>2588664.34</v>
      </c>
      <c r="F92" s="166">
        <f>(+D92-E92)/E92</f>
        <v>0.05395147522293302</v>
      </c>
      <c r="G92" s="241">
        <f>D92/C92</f>
        <v>0.09360209668271705</v>
      </c>
      <c r="H92" s="242">
        <f>1-G92</f>
        <v>0.906397903317283</v>
      </c>
      <c r="I92" s="157"/>
    </row>
    <row r="93" spans="1:9" ht="15.75">
      <c r="A93" s="164"/>
      <c r="B93" s="165">
        <f>DATE(15,10,1)</f>
        <v>5753</v>
      </c>
      <c r="C93" s="226">
        <v>30494220.09</v>
      </c>
      <c r="D93" s="226">
        <v>2871413.92</v>
      </c>
      <c r="E93" s="226">
        <v>2779309.1</v>
      </c>
      <c r="F93" s="166">
        <f>(+D93-E93)/E93</f>
        <v>0.03313946620762686</v>
      </c>
      <c r="G93" s="241">
        <f>D93/C93</f>
        <v>0.09416256298817839</v>
      </c>
      <c r="H93" s="242">
        <f>1-G93</f>
        <v>0.9058374370118216</v>
      </c>
      <c r="I93" s="157"/>
    </row>
    <row r="94" spans="1:9" ht="15.75">
      <c r="A94" s="164"/>
      <c r="B94" s="165">
        <f>DATE(15,11,1)</f>
        <v>5784</v>
      </c>
      <c r="C94" s="226">
        <v>28620047.89</v>
      </c>
      <c r="D94" s="226">
        <v>2691563.06</v>
      </c>
      <c r="E94" s="226">
        <v>2575983.41</v>
      </c>
      <c r="F94" s="166">
        <f>(+D94-E94)/E94</f>
        <v>0.04486816551353485</v>
      </c>
      <c r="G94" s="241">
        <f>D94/C94</f>
        <v>0.09404467352203302</v>
      </c>
      <c r="H94" s="242">
        <f>1-G94</f>
        <v>0.905955326477967</v>
      </c>
      <c r="I94" s="157"/>
    </row>
    <row r="95" spans="1:9" ht="15.75" thickBot="1">
      <c r="A95" s="167"/>
      <c r="B95" s="168"/>
      <c r="C95" s="226"/>
      <c r="D95" s="226"/>
      <c r="E95" s="226"/>
      <c r="F95" s="166"/>
      <c r="G95" s="241"/>
      <c r="H95" s="242"/>
      <c r="I95" s="157"/>
    </row>
    <row r="96" spans="1:9" ht="17.25" thickBot="1" thickTop="1">
      <c r="A96" s="182" t="s">
        <v>14</v>
      </c>
      <c r="B96" s="183"/>
      <c r="C96" s="230">
        <f>SUM(C90:C95)</f>
        <v>150755334.92000002</v>
      </c>
      <c r="D96" s="230">
        <f>SUM(D90:D95)</f>
        <v>14076879.2</v>
      </c>
      <c r="E96" s="230">
        <f>SUM(E90:E95)</f>
        <v>13789145.22</v>
      </c>
      <c r="F96" s="176">
        <f>(+D96-E96)/E96</f>
        <v>0.020866701699730057</v>
      </c>
      <c r="G96" s="249">
        <f>D96/C96</f>
        <v>0.09337566201202797</v>
      </c>
      <c r="H96" s="246">
        <f>1-G96</f>
        <v>0.906624337987972</v>
      </c>
      <c r="I96" s="157"/>
    </row>
    <row r="97" spans="1:9" ht="15.75" thickTop="1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5.75">
      <c r="A98" s="164" t="s">
        <v>40</v>
      </c>
      <c r="B98" s="165">
        <f>DATE(15,7,1)</f>
        <v>5661</v>
      </c>
      <c r="C98" s="226">
        <v>220200494.75</v>
      </c>
      <c r="D98" s="226">
        <v>19933602.06</v>
      </c>
      <c r="E98" s="226">
        <v>19981616.24</v>
      </c>
      <c r="F98" s="166">
        <f>(+D98-E98)/E98</f>
        <v>-0.00240291773314528</v>
      </c>
      <c r="G98" s="241">
        <f>D98/C98</f>
        <v>0.09052478325551082</v>
      </c>
      <c r="H98" s="242">
        <f>1-G98</f>
        <v>0.9094752167444892</v>
      </c>
      <c r="I98" s="157"/>
    </row>
    <row r="99" spans="1:9" ht="15.75">
      <c r="A99" s="164"/>
      <c r="B99" s="165">
        <f>DATE(15,8,1)</f>
        <v>5692</v>
      </c>
      <c r="C99" s="226">
        <v>214550668.73</v>
      </c>
      <c r="D99" s="226">
        <v>19402722.75</v>
      </c>
      <c r="E99" s="226">
        <v>21075262.02</v>
      </c>
      <c r="F99" s="166">
        <f>(+D99-E99)/E99</f>
        <v>-0.07936030728409418</v>
      </c>
      <c r="G99" s="241">
        <f>D99/C99</f>
        <v>0.09043422173816312</v>
      </c>
      <c r="H99" s="242">
        <f>1-G99</f>
        <v>0.9095657782618369</v>
      </c>
      <c r="I99" s="157"/>
    </row>
    <row r="100" spans="1:9" ht="15.75">
      <c r="A100" s="164"/>
      <c r="B100" s="165">
        <f>DATE(15,9,1)</f>
        <v>5723</v>
      </c>
      <c r="C100" s="226">
        <v>201315980.07</v>
      </c>
      <c r="D100" s="226">
        <v>18571151.76</v>
      </c>
      <c r="E100" s="226">
        <v>17486814.22</v>
      </c>
      <c r="F100" s="166">
        <f>(+D100-E100)/E100</f>
        <v>0.06200886715888052</v>
      </c>
      <c r="G100" s="241">
        <f>D100/C100</f>
        <v>0.09224877107889094</v>
      </c>
      <c r="H100" s="242">
        <f>1-G100</f>
        <v>0.907751228921109</v>
      </c>
      <c r="I100" s="157"/>
    </row>
    <row r="101" spans="1:9" ht="15.75">
      <c r="A101" s="164"/>
      <c r="B101" s="165">
        <f>DATE(15,10,1)</f>
        <v>5753</v>
      </c>
      <c r="C101" s="226">
        <v>212642709.82</v>
      </c>
      <c r="D101" s="226">
        <v>19211879.39</v>
      </c>
      <c r="E101" s="226">
        <v>18422996.77</v>
      </c>
      <c r="F101" s="166">
        <f>(+D101-E101)/E101</f>
        <v>0.042820537280048664</v>
      </c>
      <c r="G101" s="241">
        <f>D101/C101</f>
        <v>0.09034816856059948</v>
      </c>
      <c r="H101" s="242">
        <f>1-G101</f>
        <v>0.9096518314394005</v>
      </c>
      <c r="I101" s="157"/>
    </row>
    <row r="102" spans="1:9" ht="15.75">
      <c r="A102" s="164"/>
      <c r="B102" s="165">
        <f>DATE(15,11,1)</f>
        <v>5784</v>
      </c>
      <c r="C102" s="226">
        <v>208726524.19</v>
      </c>
      <c r="D102" s="226">
        <v>18565267.48</v>
      </c>
      <c r="E102" s="226">
        <v>18567130.19</v>
      </c>
      <c r="F102" s="166">
        <f>(+D102-E102)/E102</f>
        <v>-0.00010032298911784029</v>
      </c>
      <c r="G102" s="241">
        <f>D102/C102</f>
        <v>0.08894541578769535</v>
      </c>
      <c r="H102" s="242">
        <f>1-G102</f>
        <v>0.9110545842123047</v>
      </c>
      <c r="I102" s="157"/>
    </row>
    <row r="103" spans="1:9" ht="15.75" thickBot="1">
      <c r="A103" s="167"/>
      <c r="B103" s="168"/>
      <c r="C103" s="226"/>
      <c r="D103" s="226"/>
      <c r="E103" s="226"/>
      <c r="F103" s="166"/>
      <c r="G103" s="241"/>
      <c r="H103" s="242"/>
      <c r="I103" s="157"/>
    </row>
    <row r="104" spans="1:9" ht="17.25" thickBot="1" thickTop="1">
      <c r="A104" s="174" t="s">
        <v>14</v>
      </c>
      <c r="B104" s="175"/>
      <c r="C104" s="228">
        <f>SUM(C98:C103)</f>
        <v>1057436377.56</v>
      </c>
      <c r="D104" s="228">
        <f>SUM(D98:D103)</f>
        <v>95684623.44000001</v>
      </c>
      <c r="E104" s="228">
        <f>SUM(E98:E103)</f>
        <v>95533819.44</v>
      </c>
      <c r="F104" s="176">
        <f>(+D104-E104)/E104</f>
        <v>0.0015785404674909635</v>
      </c>
      <c r="G104" s="245">
        <f>D104/C104</f>
        <v>0.09048735741509968</v>
      </c>
      <c r="H104" s="246">
        <f>1-G104</f>
        <v>0.9095126425849003</v>
      </c>
      <c r="I104" s="157"/>
    </row>
    <row r="105" spans="1:9" ht="15.75" thickTop="1">
      <c r="A105" s="167"/>
      <c r="B105" s="168"/>
      <c r="C105" s="226"/>
      <c r="D105" s="226"/>
      <c r="E105" s="226"/>
      <c r="F105" s="166"/>
      <c r="G105" s="241"/>
      <c r="H105" s="242"/>
      <c r="I105" s="157"/>
    </row>
    <row r="106" spans="1:9" ht="15.75">
      <c r="A106" s="164" t="s">
        <v>64</v>
      </c>
      <c r="B106" s="165">
        <f>DATE(15,7,1)</f>
        <v>5661</v>
      </c>
      <c r="C106" s="226">
        <v>34484649.78</v>
      </c>
      <c r="D106" s="226">
        <v>3135489.91</v>
      </c>
      <c r="E106" s="226">
        <v>3131194.84</v>
      </c>
      <c r="F106" s="166">
        <f>(+D106-E106)/E106</f>
        <v>0.0013717032057961294</v>
      </c>
      <c r="G106" s="241">
        <f>D106/C106</f>
        <v>0.09092422077658693</v>
      </c>
      <c r="H106" s="242">
        <f>1-G106</f>
        <v>0.9090757792234131</v>
      </c>
      <c r="I106" s="157"/>
    </row>
    <row r="107" spans="1:9" ht="15.75">
      <c r="A107" s="164"/>
      <c r="B107" s="165">
        <f>DATE(15,8,1)</f>
        <v>5692</v>
      </c>
      <c r="C107" s="226">
        <v>33992565</v>
      </c>
      <c r="D107" s="226">
        <v>3054087.69</v>
      </c>
      <c r="E107" s="226">
        <v>3227301.46</v>
      </c>
      <c r="F107" s="166">
        <f>(+D107-E107)/E107</f>
        <v>-0.05367139455264896</v>
      </c>
      <c r="G107" s="241">
        <f>D107/C107</f>
        <v>0.08984575568216167</v>
      </c>
      <c r="H107" s="242">
        <f>1-G107</f>
        <v>0.9101542443178383</v>
      </c>
      <c r="I107" s="157"/>
    </row>
    <row r="108" spans="1:9" ht="15.75">
      <c r="A108" s="164"/>
      <c r="B108" s="165">
        <f>DATE(15,9,1)</f>
        <v>5723</v>
      </c>
      <c r="C108" s="226">
        <v>31390422.87</v>
      </c>
      <c r="D108" s="226">
        <v>2932278.42</v>
      </c>
      <c r="E108" s="226">
        <v>2886113.88</v>
      </c>
      <c r="F108" s="166">
        <f>(+D108-E108)/E108</f>
        <v>0.015995397936272714</v>
      </c>
      <c r="G108" s="241">
        <f>D108/C108</f>
        <v>0.09341315445617633</v>
      </c>
      <c r="H108" s="242">
        <f>1-G108</f>
        <v>0.9065868455438236</v>
      </c>
      <c r="I108" s="157"/>
    </row>
    <row r="109" spans="1:9" ht="15.75">
      <c r="A109" s="164"/>
      <c r="B109" s="165">
        <f>DATE(15,10,1)</f>
        <v>5753</v>
      </c>
      <c r="C109" s="226">
        <v>33008637.75</v>
      </c>
      <c r="D109" s="226">
        <v>2975346.07</v>
      </c>
      <c r="E109" s="226">
        <v>2908095.78</v>
      </c>
      <c r="F109" s="166">
        <f>(+D109-E109)/E109</f>
        <v>0.023125197753974956</v>
      </c>
      <c r="G109" s="241">
        <f>D109/C109</f>
        <v>0.0901384083928153</v>
      </c>
      <c r="H109" s="242">
        <f>1-G109</f>
        <v>0.9098615916071847</v>
      </c>
      <c r="I109" s="157"/>
    </row>
    <row r="110" spans="1:9" ht="15.75">
      <c r="A110" s="164"/>
      <c r="B110" s="165">
        <f>DATE(15,11,1)</f>
        <v>5784</v>
      </c>
      <c r="C110" s="226">
        <v>30809841.94</v>
      </c>
      <c r="D110" s="226">
        <v>2749797.25</v>
      </c>
      <c r="E110" s="226">
        <v>2809592.69</v>
      </c>
      <c r="F110" s="166">
        <f>(+D110-E110)/E110</f>
        <v>-0.021282600931026747</v>
      </c>
      <c r="G110" s="241">
        <f>D110/C110</f>
        <v>0.08925061203997854</v>
      </c>
      <c r="H110" s="242">
        <f>1-G110</f>
        <v>0.9107493879600215</v>
      </c>
      <c r="I110" s="157"/>
    </row>
    <row r="111" spans="1:9" ht="15.75" thickBot="1">
      <c r="A111" s="167"/>
      <c r="B111" s="168"/>
      <c r="C111" s="226"/>
      <c r="D111" s="226"/>
      <c r="E111" s="226"/>
      <c r="F111" s="166"/>
      <c r="G111" s="241"/>
      <c r="H111" s="242"/>
      <c r="I111" s="157"/>
    </row>
    <row r="112" spans="1:9" ht="17.25" thickBot="1" thickTop="1">
      <c r="A112" s="169" t="s">
        <v>14</v>
      </c>
      <c r="B112" s="155"/>
      <c r="C112" s="223">
        <f>SUM(C106:C111)</f>
        <v>163686117.34</v>
      </c>
      <c r="D112" s="223">
        <f>SUM(D106:D111)</f>
        <v>14846999.34</v>
      </c>
      <c r="E112" s="223">
        <f>SUM(E106:E111)</f>
        <v>14962298.649999999</v>
      </c>
      <c r="F112" s="176">
        <f>(+D112-E112)/E112</f>
        <v>-0.007705989079425217</v>
      </c>
      <c r="G112" s="245">
        <f>D112/C112</f>
        <v>0.0907040840192978</v>
      </c>
      <c r="H112" s="246">
        <f>1-G112</f>
        <v>0.9092959159807021</v>
      </c>
      <c r="I112" s="157"/>
    </row>
    <row r="113" spans="1:9" ht="16.5" thickBot="1" thickTop="1">
      <c r="A113" s="171"/>
      <c r="B113" s="172"/>
      <c r="C113" s="227"/>
      <c r="D113" s="227"/>
      <c r="E113" s="227"/>
      <c r="F113" s="173"/>
      <c r="G113" s="243"/>
      <c r="H113" s="244"/>
      <c r="I113" s="157"/>
    </row>
    <row r="114" spans="1:9" ht="17.25" thickBot="1" thickTop="1">
      <c r="A114" s="184" t="s">
        <v>41</v>
      </c>
      <c r="B114" s="155"/>
      <c r="C114" s="223">
        <f>C112+C104+C80+C64+C48+C32+C16+C40+C96+C24+C72+C88+C56</f>
        <v>6477672067.31</v>
      </c>
      <c r="D114" s="223">
        <f>D112+D104+D80+D64+D48+D32+D16+D40+D96+D24+D72+D88+D56</f>
        <v>610507686.88</v>
      </c>
      <c r="E114" s="223">
        <f>E112+E104+E80+E64+E48+E32+E16+E40+E96+E24+E72+E88+E56</f>
        <v>600603655.74</v>
      </c>
      <c r="F114" s="170">
        <f>(+D114-E114)/E114</f>
        <v>0.016490127965999957</v>
      </c>
      <c r="G114" s="236">
        <f>D114/C114</f>
        <v>0.09424800770032297</v>
      </c>
      <c r="H114" s="237">
        <f>1-G114</f>
        <v>0.9057519922996771</v>
      </c>
      <c r="I114" s="157"/>
    </row>
    <row r="115" spans="1:9" ht="17.25" thickBot="1" thickTop="1">
      <c r="A115" s="184"/>
      <c r="B115" s="155"/>
      <c r="C115" s="223"/>
      <c r="D115" s="223"/>
      <c r="E115" s="223"/>
      <c r="F115" s="170"/>
      <c r="G115" s="236"/>
      <c r="H115" s="237"/>
      <c r="I115" s="157"/>
    </row>
    <row r="116" spans="1:9" ht="17.25" thickBot="1" thickTop="1">
      <c r="A116" s="184" t="s">
        <v>42</v>
      </c>
      <c r="B116" s="155"/>
      <c r="C116" s="223">
        <f>+C14+C22+C30+C38+C46+C54+C62+C70+C78+C86+C94+C102+C110</f>
        <v>1228265851.3</v>
      </c>
      <c r="D116" s="223">
        <f>+D14+D22+D30+D38+D46+D54+D62+D70+D78+D86+D94+D102+D110</f>
        <v>115276442.23</v>
      </c>
      <c r="E116" s="223">
        <f>+E14+E22+E30+E38+E46+E54+E62+E70+E78+E86+E94+E102+E110</f>
        <v>115360913.54999998</v>
      </c>
      <c r="F116" s="170">
        <f>(+D116-E116)/E116</f>
        <v>-0.0007322351860829032</v>
      </c>
      <c r="G116" s="236">
        <f>D116/C116</f>
        <v>0.0938530059335209</v>
      </c>
      <c r="H116" s="246">
        <f>1-G116</f>
        <v>0.9061469940664791</v>
      </c>
      <c r="I116" s="157"/>
    </row>
    <row r="117" spans="1:9" ht="16.5" thickTop="1">
      <c r="A117" s="185"/>
      <c r="B117" s="186"/>
      <c r="C117" s="231"/>
      <c r="D117" s="231"/>
      <c r="E117" s="231"/>
      <c r="F117" s="187"/>
      <c r="G117" s="250"/>
      <c r="H117" s="250"/>
      <c r="I117" s="151"/>
    </row>
    <row r="118" spans="1:9" ht="16.5" customHeight="1">
      <c r="A118" s="188" t="s">
        <v>52</v>
      </c>
      <c r="B118" s="189"/>
      <c r="C118" s="232"/>
      <c r="D118" s="232"/>
      <c r="E118" s="232"/>
      <c r="F118" s="190"/>
      <c r="G118" s="251"/>
      <c r="H118" s="251"/>
      <c r="I118" s="151"/>
    </row>
    <row r="119" spans="1:9" ht="15.75">
      <c r="A119" s="191"/>
      <c r="B119" s="189"/>
      <c r="C119" s="232"/>
      <c r="D119" s="232"/>
      <c r="E119" s="232"/>
      <c r="F119" s="190"/>
      <c r="G119" s="257"/>
      <c r="H119" s="257"/>
      <c r="I119" s="151"/>
    </row>
    <row r="120" spans="1:9" ht="15.75">
      <c r="A120" s="72"/>
      <c r="I120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2" manualBreakCount="2">
    <brk id="56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2015-12-09T15:01:14Z</cp:lastPrinted>
  <dcterms:created xsi:type="dcterms:W3CDTF">2003-09-09T14:41:43Z</dcterms:created>
  <dcterms:modified xsi:type="dcterms:W3CDTF">2015-12-09T21:41:19Z</dcterms:modified>
  <cp:category/>
  <cp:version/>
  <cp:contentType/>
  <cp:contentStatus/>
</cp:coreProperties>
</file>